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lpio\Desktop\Plany studiów 2021-22\"/>
    </mc:Choice>
  </mc:AlternateContent>
  <bookViews>
    <workbookView xWindow="0" yWindow="0" windowWidth="28800" windowHeight="11835" tabRatio="601" activeTab="4"/>
  </bookViews>
  <sheets>
    <sheet name="I rok" sheetId="4" r:id="rId1"/>
    <sheet name="II rok" sheetId="8" r:id="rId2"/>
    <sheet name="III rok" sheetId="9" r:id="rId3"/>
    <sheet name="IV rok" sheetId="10" r:id="rId4"/>
    <sheet name="V rok" sheetId="11" r:id="rId5"/>
    <sheet name="VI rok" sheetId="13" r:id="rId6"/>
    <sheet name="RAZEM" sheetId="14" r:id="rId7"/>
    <sheet name="Arkusz1" sheetId="15" state="hidden" r:id="rId8"/>
    <sheet name="FAKULTETY" sheetId="5" r:id="rId9"/>
  </sheets>
  <definedNames>
    <definedName name="_xlnm.Print_Area" localSheetId="0">'I rok'!$A$1:$AE$59</definedName>
    <definedName name="_xlnm.Print_Area" localSheetId="1">'II rok'!$A$1:$AE$72</definedName>
    <definedName name="_xlnm.Print_Area" localSheetId="2">'III rok'!$A$1:$AE$58</definedName>
    <definedName name="_xlnm.Print_Area" localSheetId="3">'IV rok'!$A$1:$AE$60</definedName>
    <definedName name="_xlnm.Print_Area" localSheetId="4">'V rok'!$A$1:$AE$73</definedName>
    <definedName name="_xlnm.Print_Area" localSheetId="5">'VI rok'!$A$1:$AE$32</definedName>
    <definedName name="_xlnm.Print_Titles" localSheetId="8">FAKULTETY!$3:$6</definedName>
    <definedName name="_xlnm.Print_Titles" localSheetId="0">'I rok'!$5:$9</definedName>
    <definedName name="_xlnm.Print_Titles" localSheetId="1">'II rok'!$5:$9</definedName>
    <definedName name="_xlnm.Print_Titles" localSheetId="2">'III rok'!$5:$9</definedName>
    <definedName name="_xlnm.Print_Titles" localSheetId="3">'IV rok'!$6:$9</definedName>
    <definedName name="_xlnm.Print_Titles" localSheetId="6">RAZEM!$4:$4</definedName>
    <definedName name="_xlnm.Print_Titles" localSheetId="4">'V rok'!$6:$9</definedName>
  </definedNames>
  <calcPr calcId="152511"/>
</workbook>
</file>

<file path=xl/calcChain.xml><?xml version="1.0" encoding="utf-8"?>
<calcChain xmlns="http://schemas.openxmlformats.org/spreadsheetml/2006/main">
  <c r="C18" i="14" l="1"/>
  <c r="C54" i="11" l="1"/>
  <c r="C55" i="11"/>
  <c r="C56" i="11"/>
  <c r="C57" i="11"/>
  <c r="C58" i="11"/>
  <c r="C59" i="11"/>
  <c r="C60" i="11"/>
  <c r="C61" i="11"/>
  <c r="C62" i="11"/>
  <c r="C63" i="11"/>
  <c r="C64" i="11"/>
  <c r="C65" i="11"/>
  <c r="C66" i="11"/>
  <c r="C67" i="11"/>
  <c r="C68" i="11"/>
  <c r="C69" i="11"/>
  <c r="C70" i="11"/>
  <c r="C71" i="11"/>
  <c r="C72" i="11"/>
  <c r="C73" i="11"/>
  <c r="D38" i="5"/>
  <c r="B24" i="5"/>
  <c r="B25" i="5"/>
  <c r="D43" i="5"/>
  <c r="C52" i="10"/>
  <c r="D42" i="5" s="1"/>
  <c r="C47" i="9"/>
  <c r="AC68" i="11" l="1"/>
  <c r="AC69" i="11"/>
  <c r="AB69" i="11"/>
  <c r="Z69" i="11"/>
  <c r="Z70" i="11"/>
  <c r="AE69" i="11"/>
  <c r="AD69" i="11"/>
  <c r="Y69" i="11"/>
  <c r="AA69" i="11"/>
  <c r="AE47" i="10"/>
  <c r="AE49" i="10"/>
  <c r="AE50" i="10"/>
  <c r="AE51" i="10"/>
  <c r="AE52" i="10"/>
  <c r="AE53" i="10"/>
  <c r="AE54" i="10"/>
  <c r="AE55" i="10"/>
  <c r="AD47" i="10"/>
  <c r="AD49" i="10"/>
  <c r="AD50" i="10"/>
  <c r="AD51" i="10"/>
  <c r="AD52" i="10"/>
  <c r="AD53" i="10"/>
  <c r="AD54" i="10"/>
  <c r="AD55" i="10"/>
  <c r="AC47" i="10"/>
  <c r="AC49" i="10"/>
  <c r="AC50" i="10"/>
  <c r="AC51" i="10"/>
  <c r="AC52" i="10"/>
  <c r="AC53" i="10"/>
  <c r="AC54" i="10"/>
  <c r="AC55" i="10"/>
  <c r="AB47" i="10"/>
  <c r="AB49" i="10"/>
  <c r="AB50" i="10"/>
  <c r="AB51" i="10"/>
  <c r="AB52" i="10"/>
  <c r="AB53" i="10"/>
  <c r="AB54" i="10"/>
  <c r="AB55" i="10"/>
  <c r="AA47" i="10"/>
  <c r="AA49" i="10"/>
  <c r="AA50" i="10"/>
  <c r="AA51" i="10"/>
  <c r="AA52" i="10"/>
  <c r="AA53" i="10"/>
  <c r="AA54" i="10"/>
  <c r="AA55" i="10"/>
  <c r="Z47" i="10"/>
  <c r="Z49" i="10"/>
  <c r="Z50" i="10"/>
  <c r="Z51" i="10"/>
  <c r="Z52" i="10"/>
  <c r="Z53" i="10"/>
  <c r="Z54" i="10"/>
  <c r="Z55" i="10"/>
  <c r="Y49" i="10"/>
  <c r="Y50" i="10"/>
  <c r="Y51" i="10"/>
  <c r="Y52" i="10"/>
  <c r="Y53" i="10"/>
  <c r="Y54" i="10"/>
  <c r="Y55" i="10"/>
  <c r="E42" i="14" l="1"/>
  <c r="E44" i="14"/>
  <c r="E45" i="14"/>
  <c r="E46" i="14"/>
  <c r="E47" i="14"/>
  <c r="E48" i="14"/>
  <c r="E49" i="14"/>
  <c r="K40" i="14"/>
  <c r="J40" i="14"/>
  <c r="I40" i="14"/>
  <c r="H40" i="14"/>
  <c r="G40" i="14"/>
  <c r="F40" i="14"/>
  <c r="C40" i="14"/>
  <c r="C20" i="9" s="1"/>
  <c r="E40" i="14" l="1"/>
  <c r="Y19" i="9"/>
  <c r="AE19" i="9"/>
  <c r="AD19" i="9"/>
  <c r="AC19" i="9"/>
  <c r="AB19" i="9"/>
  <c r="AA19" i="9"/>
  <c r="Z19" i="9"/>
  <c r="K17" i="14" l="1"/>
  <c r="K13" i="14"/>
  <c r="J17" i="14"/>
  <c r="J16" i="14"/>
  <c r="J13" i="14"/>
  <c r="I17" i="14"/>
  <c r="I13" i="14"/>
  <c r="H17" i="14"/>
  <c r="H16" i="14"/>
  <c r="H13" i="14"/>
  <c r="G17" i="14"/>
  <c r="G13" i="14"/>
  <c r="F17" i="14"/>
  <c r="F15" i="14"/>
  <c r="F13" i="14"/>
  <c r="J7" i="14"/>
  <c r="J6" i="14"/>
  <c r="E96" i="14"/>
  <c r="E97" i="14"/>
  <c r="E98" i="14"/>
  <c r="E99" i="14"/>
  <c r="E100" i="14"/>
  <c r="E101" i="14"/>
  <c r="E95" i="14"/>
  <c r="E86" i="14"/>
  <c r="E87" i="14"/>
  <c r="E88" i="14"/>
  <c r="E89" i="14"/>
  <c r="E90" i="14"/>
  <c r="E91" i="14"/>
  <c r="E92" i="14"/>
  <c r="E85" i="14"/>
  <c r="E76" i="14"/>
  <c r="E77" i="14"/>
  <c r="E78" i="14"/>
  <c r="E79" i="14"/>
  <c r="E80" i="14"/>
  <c r="E81" i="14"/>
  <c r="E82" i="14"/>
  <c r="E75" i="14"/>
  <c r="E69" i="14"/>
  <c r="E70" i="14"/>
  <c r="E71" i="14"/>
  <c r="E72" i="14"/>
  <c r="E68" i="14"/>
  <c r="E54" i="14"/>
  <c r="E55" i="14"/>
  <c r="E56" i="14"/>
  <c r="E57" i="14"/>
  <c r="E58" i="14"/>
  <c r="E59" i="14"/>
  <c r="E60" i="14"/>
  <c r="E62" i="14"/>
  <c r="E63" i="14"/>
  <c r="E64" i="14"/>
  <c r="E65" i="14"/>
  <c r="E53" i="14"/>
  <c r="E30" i="14"/>
  <c r="E31" i="14"/>
  <c r="E32" i="14"/>
  <c r="E33" i="14"/>
  <c r="E34" i="14"/>
  <c r="E29" i="14"/>
  <c r="E22" i="14"/>
  <c r="E21" i="14"/>
  <c r="AA40" i="4"/>
  <c r="AA41" i="4"/>
  <c r="AA42" i="4"/>
  <c r="AA39" i="4"/>
  <c r="Y40" i="4"/>
  <c r="Y41" i="4"/>
  <c r="Y42" i="4"/>
  <c r="Y39" i="4"/>
  <c r="Y32" i="4"/>
  <c r="Y33" i="4"/>
  <c r="Y34" i="4"/>
  <c r="Y35" i="4"/>
  <c r="Y36" i="4"/>
  <c r="Y31" i="4"/>
  <c r="Y37" i="4" s="1"/>
  <c r="Y28" i="4"/>
  <c r="Y22" i="4"/>
  <c r="Y23" i="4"/>
  <c r="Y24" i="4"/>
  <c r="Y21" i="4"/>
  <c r="Y16" i="4"/>
  <c r="Y17" i="4"/>
  <c r="Y18" i="4"/>
  <c r="Y15" i="4"/>
  <c r="Y12" i="4"/>
  <c r="Y11" i="4"/>
  <c r="AE37" i="4"/>
  <c r="AD37" i="4"/>
  <c r="AC37" i="4"/>
  <c r="AB37" i="4"/>
  <c r="AA37" i="4"/>
  <c r="Z37" i="4"/>
  <c r="X37" i="4"/>
  <c r="W37" i="4"/>
  <c r="V37" i="4"/>
  <c r="U37" i="4"/>
  <c r="T37" i="4"/>
  <c r="S37" i="4"/>
  <c r="R37" i="4"/>
  <c r="Q37" i="4"/>
  <c r="P37" i="4"/>
  <c r="O37" i="4"/>
  <c r="N37" i="4"/>
  <c r="M37" i="4"/>
  <c r="L37" i="4"/>
  <c r="K37" i="4"/>
  <c r="J37" i="4"/>
  <c r="I37" i="4"/>
  <c r="H37" i="4"/>
  <c r="G37" i="4"/>
  <c r="AC29" i="4"/>
  <c r="AB29" i="4"/>
  <c r="AA29" i="4"/>
  <c r="Z29" i="4"/>
  <c r="AC26" i="4"/>
  <c r="AB26" i="4"/>
  <c r="AA26" i="4"/>
  <c r="X26" i="4"/>
  <c r="W26" i="4"/>
  <c r="V26" i="4"/>
  <c r="U26" i="4"/>
  <c r="T26" i="4"/>
  <c r="S26" i="4"/>
  <c r="R26" i="4"/>
  <c r="Q26" i="4"/>
  <c r="P26" i="4"/>
  <c r="O26" i="4"/>
  <c r="N26" i="4"/>
  <c r="M26" i="4"/>
  <c r="L26" i="4"/>
  <c r="K26" i="4"/>
  <c r="J26" i="4"/>
  <c r="I26" i="4"/>
  <c r="H26" i="4"/>
  <c r="Y41" i="8"/>
  <c r="Y42" i="8"/>
  <c r="Y43" i="8"/>
  <c r="Y44" i="8"/>
  <c r="Y45" i="8"/>
  <c r="Y40" i="8"/>
  <c r="Y36" i="8"/>
  <c r="Y38" i="8" s="1"/>
  <c r="Y37" i="8"/>
  <c r="Y35" i="8"/>
  <c r="Y32" i="8"/>
  <c r="Y31" i="8"/>
  <c r="Y27" i="8"/>
  <c r="Y28" i="8"/>
  <c r="Y26" i="8"/>
  <c r="Y22" i="8"/>
  <c r="Y17" i="8"/>
  <c r="Y18" i="8"/>
  <c r="Y19" i="8"/>
  <c r="Y16" i="8"/>
  <c r="Y12" i="8"/>
  <c r="Y13" i="8"/>
  <c r="Y11" i="8"/>
  <c r="H46" i="8"/>
  <c r="G46" i="8"/>
  <c r="AE38" i="8"/>
  <c r="AD38" i="8"/>
  <c r="AC38" i="8"/>
  <c r="AB38" i="8"/>
  <c r="AA38" i="8"/>
  <c r="Z38" i="8"/>
  <c r="X38" i="8"/>
  <c r="W38" i="8"/>
  <c r="V38" i="8"/>
  <c r="U38" i="8"/>
  <c r="T38" i="8"/>
  <c r="S38" i="8"/>
  <c r="R38" i="8"/>
  <c r="Q38" i="8"/>
  <c r="P38" i="8"/>
  <c r="O38" i="8"/>
  <c r="N38" i="8"/>
  <c r="M38" i="8"/>
  <c r="L38" i="8"/>
  <c r="K38" i="8"/>
  <c r="J38" i="8"/>
  <c r="I38" i="8"/>
  <c r="H38" i="8"/>
  <c r="G38" i="8"/>
  <c r="Y34" i="9"/>
  <c r="Y31" i="9"/>
  <c r="Y25" i="9"/>
  <c r="Y21" i="9"/>
  <c r="Y22" i="9"/>
  <c r="Q26" i="9"/>
  <c r="P26" i="9"/>
  <c r="O26" i="9"/>
  <c r="N26" i="9"/>
  <c r="M26" i="9"/>
  <c r="L26" i="9"/>
  <c r="K26" i="9"/>
  <c r="J26" i="9"/>
  <c r="I26" i="9"/>
  <c r="H26" i="9"/>
  <c r="G26" i="9"/>
  <c r="AC23" i="9"/>
  <c r="X23" i="9"/>
  <c r="W23" i="9"/>
  <c r="V23" i="9"/>
  <c r="U23" i="9"/>
  <c r="T23" i="9"/>
  <c r="S23" i="9"/>
  <c r="R23" i="9"/>
  <c r="Q23" i="9"/>
  <c r="P23" i="9"/>
  <c r="O23" i="9"/>
  <c r="N23" i="9"/>
  <c r="M23" i="9"/>
  <c r="L23" i="9"/>
  <c r="K23" i="9"/>
  <c r="J23" i="9"/>
  <c r="I23" i="9"/>
  <c r="H23" i="9"/>
  <c r="G23" i="9"/>
  <c r="X16" i="9"/>
  <c r="W16" i="9"/>
  <c r="V16" i="9"/>
  <c r="U16" i="9"/>
  <c r="T16" i="9"/>
  <c r="S16" i="9"/>
  <c r="R16" i="9"/>
  <c r="Q16" i="9"/>
  <c r="P16" i="9"/>
  <c r="O16" i="9"/>
  <c r="N16" i="9"/>
  <c r="M16" i="9"/>
  <c r="L16" i="9"/>
  <c r="K16" i="9"/>
  <c r="J16" i="9"/>
  <c r="I16" i="9"/>
  <c r="H16" i="9"/>
  <c r="G16" i="9"/>
  <c r="X12" i="9"/>
  <c r="W12" i="9"/>
  <c r="V12" i="9"/>
  <c r="U12" i="9"/>
  <c r="T12" i="9"/>
  <c r="S12" i="9"/>
  <c r="R12" i="9"/>
  <c r="Q12" i="9"/>
  <c r="P12" i="9"/>
  <c r="O12" i="9"/>
  <c r="N12" i="9"/>
  <c r="M12" i="9"/>
  <c r="L12" i="9"/>
  <c r="K12" i="9"/>
  <c r="J12" i="9"/>
  <c r="I12" i="9"/>
  <c r="H12" i="9"/>
  <c r="G12" i="9"/>
  <c r="AC34" i="10"/>
  <c r="AC35" i="10"/>
  <c r="AC36" i="10"/>
  <c r="AC37" i="10"/>
  <c r="AC38" i="10"/>
  <c r="AC33" i="10"/>
  <c r="AB34" i="10"/>
  <c r="AB35" i="10"/>
  <c r="AB36" i="10"/>
  <c r="AB37" i="10"/>
  <c r="AB38" i="10"/>
  <c r="AB33" i="10"/>
  <c r="Z27" i="10"/>
  <c r="Z26" i="10"/>
  <c r="AC27" i="10"/>
  <c r="AC28" i="10" s="1"/>
  <c r="AC26" i="10"/>
  <c r="AC22" i="10"/>
  <c r="AC23" i="10"/>
  <c r="AC21" i="10"/>
  <c r="AD12" i="10"/>
  <c r="AD13" i="10"/>
  <c r="AD14" i="10"/>
  <c r="AD15" i="10"/>
  <c r="AD16" i="10"/>
  <c r="AD17" i="10"/>
  <c r="AD18" i="10"/>
  <c r="X39" i="10"/>
  <c r="W39" i="10"/>
  <c r="V39" i="10"/>
  <c r="U39" i="10"/>
  <c r="T39" i="10"/>
  <c r="S39" i="10"/>
  <c r="R39" i="10"/>
  <c r="Q39" i="10"/>
  <c r="P39" i="10"/>
  <c r="O39" i="10"/>
  <c r="N39" i="10"/>
  <c r="M39" i="10"/>
  <c r="L39" i="10"/>
  <c r="K39" i="10"/>
  <c r="J39" i="10"/>
  <c r="I39" i="10"/>
  <c r="H39" i="10"/>
  <c r="G39" i="10"/>
  <c r="X31" i="10"/>
  <c r="W31" i="10"/>
  <c r="V31" i="10"/>
  <c r="U31" i="10"/>
  <c r="T31" i="10"/>
  <c r="S31" i="10"/>
  <c r="R31" i="10"/>
  <c r="Q31" i="10"/>
  <c r="P31" i="10"/>
  <c r="O31" i="10"/>
  <c r="N31" i="10"/>
  <c r="M31" i="10"/>
  <c r="L31" i="10"/>
  <c r="K31" i="10"/>
  <c r="J31" i="10"/>
  <c r="I31" i="10"/>
  <c r="H31" i="10"/>
  <c r="G31" i="10"/>
  <c r="X28" i="10"/>
  <c r="W28" i="10"/>
  <c r="V28" i="10"/>
  <c r="U28" i="10"/>
  <c r="T28" i="10"/>
  <c r="S28" i="10"/>
  <c r="R28" i="10"/>
  <c r="Q28" i="10"/>
  <c r="P28" i="10"/>
  <c r="O28" i="10"/>
  <c r="N28" i="10"/>
  <c r="M28" i="10"/>
  <c r="L28" i="10"/>
  <c r="K28" i="10"/>
  <c r="J28" i="10"/>
  <c r="I28" i="10"/>
  <c r="H28" i="10"/>
  <c r="G28" i="10"/>
  <c r="X24" i="10"/>
  <c r="W24" i="10"/>
  <c r="V24" i="10"/>
  <c r="U24" i="10"/>
  <c r="T24" i="10"/>
  <c r="S24" i="10"/>
  <c r="R24" i="10"/>
  <c r="Q24" i="10"/>
  <c r="P24" i="10"/>
  <c r="O24" i="10"/>
  <c r="N24" i="10"/>
  <c r="M24" i="10"/>
  <c r="L24" i="10"/>
  <c r="K24" i="10"/>
  <c r="J24" i="10"/>
  <c r="I24" i="10"/>
  <c r="H24" i="10"/>
  <c r="G24" i="10"/>
  <c r="X19" i="10"/>
  <c r="W19" i="10"/>
  <c r="V19" i="10"/>
  <c r="U19" i="10"/>
  <c r="T19" i="10"/>
  <c r="S19" i="10"/>
  <c r="R19" i="10"/>
  <c r="Q19" i="10"/>
  <c r="Q40" i="10" s="1"/>
  <c r="P19" i="10"/>
  <c r="O19" i="10"/>
  <c r="N19" i="10"/>
  <c r="M19" i="10"/>
  <c r="M40" i="10" s="1"/>
  <c r="L19" i="10"/>
  <c r="K19" i="10"/>
  <c r="J19" i="10"/>
  <c r="I19" i="10"/>
  <c r="I40" i="10" s="1"/>
  <c r="H19" i="10"/>
  <c r="G19" i="10"/>
  <c r="AD44" i="11"/>
  <c r="AD45" i="11"/>
  <c r="AD46" i="11"/>
  <c r="AD47" i="11"/>
  <c r="AD38" i="11"/>
  <c r="AD37" i="11"/>
  <c r="AD34" i="11"/>
  <c r="AD33" i="11"/>
  <c r="AD21" i="11"/>
  <c r="AD22" i="11"/>
  <c r="AD23" i="11"/>
  <c r="AD24" i="11"/>
  <c r="AD25" i="11"/>
  <c r="AD26" i="11"/>
  <c r="AD27" i="11"/>
  <c r="AD28" i="11"/>
  <c r="AD29" i="11"/>
  <c r="AD30" i="11"/>
  <c r="AD20" i="11"/>
  <c r="AC11" i="11"/>
  <c r="I18" i="14" s="1"/>
  <c r="AB11" i="11"/>
  <c r="H18" i="14" s="1"/>
  <c r="X18" i="11"/>
  <c r="W18" i="11"/>
  <c r="V18" i="11"/>
  <c r="U18" i="11"/>
  <c r="O18" i="11"/>
  <c r="N18" i="11"/>
  <c r="M18" i="11"/>
  <c r="L18" i="11"/>
  <c r="X12" i="11"/>
  <c r="W12" i="11"/>
  <c r="V12" i="11"/>
  <c r="U12" i="11"/>
  <c r="T12" i="11"/>
  <c r="S12" i="11"/>
  <c r="R12" i="11"/>
  <c r="Q12" i="11"/>
  <c r="P12" i="11"/>
  <c r="N12" i="11"/>
  <c r="M12" i="11"/>
  <c r="L12" i="11"/>
  <c r="K12" i="11"/>
  <c r="G12" i="11"/>
  <c r="H12" i="11"/>
  <c r="I12" i="11"/>
  <c r="J12" i="11"/>
  <c r="O12" i="11"/>
  <c r="J40" i="10" l="1"/>
  <c r="N40" i="10"/>
  <c r="G40" i="10"/>
  <c r="K40" i="10"/>
  <c r="O40" i="10"/>
  <c r="L40" i="10"/>
  <c r="H40" i="10"/>
  <c r="P40" i="10"/>
  <c r="E17" i="14"/>
  <c r="E13" i="14"/>
  <c r="AC39" i="10"/>
  <c r="AB39" i="10"/>
  <c r="Z28" i="10"/>
  <c r="AC24" i="10"/>
  <c r="P19" i="4"/>
  <c r="O19" i="4"/>
  <c r="N19" i="4"/>
  <c r="M19" i="4"/>
  <c r="J19" i="4"/>
  <c r="I19" i="4"/>
  <c r="H19" i="4"/>
  <c r="G19" i="4"/>
  <c r="AE13" i="4"/>
  <c r="AD13" i="4"/>
  <c r="AC13" i="4"/>
  <c r="AB13" i="4"/>
  <c r="AA13" i="4"/>
  <c r="Z13" i="4"/>
  <c r="Y13" i="4"/>
  <c r="G26" i="4"/>
  <c r="X13" i="4"/>
  <c r="T13" i="4"/>
  <c r="S13" i="4"/>
  <c r="R13" i="4"/>
  <c r="Q13" i="4"/>
  <c r="P13" i="4"/>
  <c r="O13" i="4"/>
  <c r="K13" i="4"/>
  <c r="J13" i="4"/>
  <c r="I13" i="4"/>
  <c r="H13" i="4"/>
  <c r="G13" i="4"/>
  <c r="AD26" i="9" l="1"/>
  <c r="AE26" i="9"/>
  <c r="G24" i="8"/>
  <c r="H24" i="8"/>
  <c r="I24" i="8"/>
  <c r="J24" i="8"/>
  <c r="K24" i="8"/>
  <c r="K47" i="8" s="1"/>
  <c r="L24" i="8"/>
  <c r="L47" i="8" s="1"/>
  <c r="M24" i="8"/>
  <c r="M47" i="8" s="1"/>
  <c r="N24" i="8"/>
  <c r="N47" i="8" s="1"/>
  <c r="O24" i="8"/>
  <c r="P24" i="8"/>
  <c r="Q24" i="8"/>
  <c r="R24" i="8"/>
  <c r="S24" i="8"/>
  <c r="T24" i="8"/>
  <c r="T47" i="8" s="1"/>
  <c r="U24" i="8"/>
  <c r="U47" i="8" s="1"/>
  <c r="V24" i="8"/>
  <c r="V47" i="8" s="1"/>
  <c r="W24" i="8"/>
  <c r="W47" i="8" s="1"/>
  <c r="X24" i="8"/>
  <c r="AD43" i="4" l="1"/>
  <c r="AE43" i="4"/>
  <c r="AD29" i="4"/>
  <c r="AE29" i="4"/>
  <c r="AD19" i="4"/>
  <c r="AE19" i="4"/>
  <c r="J125" i="14" l="1"/>
  <c r="J126" i="14"/>
  <c r="J127" i="14"/>
  <c r="K125" i="14"/>
  <c r="K126" i="14"/>
  <c r="K127" i="14"/>
  <c r="G31" i="11" l="1"/>
  <c r="G18" i="11"/>
  <c r="H18" i="11"/>
  <c r="I18" i="11"/>
  <c r="J18" i="11"/>
  <c r="K18" i="11"/>
  <c r="P18" i="11"/>
  <c r="Q18" i="11"/>
  <c r="R18" i="11"/>
  <c r="S18" i="11"/>
  <c r="T18" i="11"/>
  <c r="AD16" i="11" l="1"/>
  <c r="J41" i="14" s="1"/>
  <c r="H41" i="14"/>
  <c r="G41" i="14"/>
  <c r="F41" i="14"/>
  <c r="E41" i="14" l="1"/>
  <c r="J47" i="14"/>
  <c r="F16" i="14" l="1"/>
  <c r="G16" i="14"/>
  <c r="K16" i="14"/>
  <c r="AD17" i="4"/>
  <c r="E16" i="14" l="1"/>
  <c r="K61" i="14"/>
  <c r="H61" i="14"/>
  <c r="G61" i="14"/>
  <c r="F61" i="14"/>
  <c r="F115" i="14"/>
  <c r="F116" i="14"/>
  <c r="F117" i="14"/>
  <c r="F118" i="14"/>
  <c r="E118" i="14" s="1"/>
  <c r="J115" i="14"/>
  <c r="J116" i="14"/>
  <c r="J117" i="14"/>
  <c r="J118" i="14"/>
  <c r="K115" i="14"/>
  <c r="K116" i="14"/>
  <c r="K117" i="14"/>
  <c r="K118" i="14"/>
  <c r="F114" i="14"/>
  <c r="J114" i="14"/>
  <c r="K114" i="14"/>
  <c r="F109" i="14"/>
  <c r="F110" i="14"/>
  <c r="F111" i="14"/>
  <c r="F112" i="14"/>
  <c r="F113" i="14"/>
  <c r="J109" i="14"/>
  <c r="J110" i="14"/>
  <c r="J111" i="14"/>
  <c r="J112" i="14"/>
  <c r="J113" i="14"/>
  <c r="K109" i="14"/>
  <c r="K110" i="14"/>
  <c r="K111" i="14"/>
  <c r="K112" i="14"/>
  <c r="K113" i="14"/>
  <c r="F108" i="14"/>
  <c r="J108" i="14"/>
  <c r="K108" i="14"/>
  <c r="AC12" i="11"/>
  <c r="AB12" i="11"/>
  <c r="AA11" i="11"/>
  <c r="G18" i="14" s="1"/>
  <c r="Z11" i="11"/>
  <c r="AD11" i="11"/>
  <c r="AE11" i="11"/>
  <c r="K18" i="14" s="1"/>
  <c r="AE12" i="11" l="1"/>
  <c r="Z12" i="11"/>
  <c r="F18" i="14"/>
  <c r="E18" i="14" s="1"/>
  <c r="AD12" i="11"/>
  <c r="J18" i="14"/>
  <c r="E61" i="14"/>
  <c r="Y11" i="11"/>
  <c r="Y12" i="11" s="1"/>
  <c r="AA12" i="11"/>
  <c r="E102" i="14"/>
  <c r="F102" i="14"/>
  <c r="G102" i="14"/>
  <c r="H102" i="14"/>
  <c r="I102" i="14"/>
  <c r="J102" i="14"/>
  <c r="K102" i="14"/>
  <c r="AD20" i="9"/>
  <c r="AD23" i="9" s="1"/>
  <c r="AD15" i="11"/>
  <c r="J39" i="14" s="1"/>
  <c r="AD14" i="11"/>
  <c r="AD11" i="10"/>
  <c r="AD19" i="10" s="1"/>
  <c r="AD18" i="9"/>
  <c r="AC15" i="11"/>
  <c r="AB15" i="11"/>
  <c r="AA15" i="11"/>
  <c r="Z15" i="11"/>
  <c r="AE15" i="11"/>
  <c r="H38" i="14"/>
  <c r="G38" i="14"/>
  <c r="F38" i="14"/>
  <c r="K38" i="14"/>
  <c r="Z14" i="11"/>
  <c r="AA14" i="11"/>
  <c r="AB14" i="11"/>
  <c r="Y15" i="11" l="1"/>
  <c r="J38" i="14"/>
  <c r="E38" i="14"/>
  <c r="Y18" i="9"/>
  <c r="AC18" i="9"/>
  <c r="AB18" i="9"/>
  <c r="AA18" i="9"/>
  <c r="Z18" i="9"/>
  <c r="AE18" i="9"/>
  <c r="AE14" i="11"/>
  <c r="AC14" i="11"/>
  <c r="Y14" i="11" s="1"/>
  <c r="AE25" i="4" l="1"/>
  <c r="AE26" i="4" s="1"/>
  <c r="AD25" i="4"/>
  <c r="AD26" i="4" s="1"/>
  <c r="AC25" i="4"/>
  <c r="AB25" i="4"/>
  <c r="AA25" i="4"/>
  <c r="Z25" i="4"/>
  <c r="AE23" i="8"/>
  <c r="K35" i="14" s="1"/>
  <c r="K36" i="14" s="1"/>
  <c r="AD23" i="8"/>
  <c r="J35" i="14" s="1"/>
  <c r="AC23" i="8"/>
  <c r="I35" i="14" s="1"/>
  <c r="AB23" i="8"/>
  <c r="H35" i="14" s="1"/>
  <c r="AA23" i="8"/>
  <c r="G35" i="14" s="1"/>
  <c r="G36" i="14" s="1"/>
  <c r="Z23" i="8"/>
  <c r="Z26" i="4" l="1"/>
  <c r="Y25" i="4"/>
  <c r="Y26" i="4" s="1"/>
  <c r="Y23" i="8"/>
  <c r="F35" i="14"/>
  <c r="E35" i="14" s="1"/>
  <c r="E66" i="14"/>
  <c r="F66" i="14"/>
  <c r="G66" i="14"/>
  <c r="H66" i="14"/>
  <c r="E73" i="14"/>
  <c r="F73" i="14"/>
  <c r="G73" i="14"/>
  <c r="H73" i="14"/>
  <c r="J73" i="14"/>
  <c r="K73" i="14"/>
  <c r="E83" i="14"/>
  <c r="H83" i="14"/>
  <c r="J83" i="14"/>
  <c r="K83" i="14"/>
  <c r="E93" i="14"/>
  <c r="H93" i="14"/>
  <c r="J93" i="14"/>
  <c r="K93" i="14"/>
  <c r="K128" i="14"/>
  <c r="J128" i="14"/>
  <c r="G128" i="14"/>
  <c r="E128" i="14" s="1"/>
  <c r="I125" i="14"/>
  <c r="I126" i="14"/>
  <c r="I127" i="14"/>
  <c r="H125" i="14"/>
  <c r="H126" i="14"/>
  <c r="H127" i="14"/>
  <c r="G125" i="14"/>
  <c r="G126" i="14"/>
  <c r="G127" i="14"/>
  <c r="F125" i="14"/>
  <c r="F126" i="14"/>
  <c r="F127" i="14"/>
  <c r="K120" i="14"/>
  <c r="K121" i="14"/>
  <c r="K122" i="14"/>
  <c r="K123" i="14"/>
  <c r="K124" i="14"/>
  <c r="J120" i="14"/>
  <c r="J121" i="14"/>
  <c r="J122" i="14"/>
  <c r="J123" i="14"/>
  <c r="J124" i="14"/>
  <c r="I120" i="14"/>
  <c r="I121" i="14"/>
  <c r="I122" i="14"/>
  <c r="I123" i="14"/>
  <c r="I124" i="14"/>
  <c r="H120" i="14"/>
  <c r="H121" i="14"/>
  <c r="H122" i="14"/>
  <c r="H123" i="14"/>
  <c r="H124" i="14"/>
  <c r="G120" i="14"/>
  <c r="G121" i="14"/>
  <c r="G122" i="14"/>
  <c r="G123" i="14"/>
  <c r="G124" i="14"/>
  <c r="F120" i="14"/>
  <c r="F121" i="14"/>
  <c r="F122" i="14"/>
  <c r="F123" i="14"/>
  <c r="F124" i="14"/>
  <c r="K119" i="14"/>
  <c r="J119" i="14"/>
  <c r="I119" i="14"/>
  <c r="H119" i="14"/>
  <c r="G119" i="14"/>
  <c r="F119" i="14"/>
  <c r="G115" i="14"/>
  <c r="E115" i="14" s="1"/>
  <c r="G116" i="14"/>
  <c r="E116" i="14" s="1"/>
  <c r="G117" i="14"/>
  <c r="E117" i="14" s="1"/>
  <c r="G114" i="14"/>
  <c r="E114" i="14" s="1"/>
  <c r="G112" i="14"/>
  <c r="E112" i="14" s="1"/>
  <c r="G113" i="14"/>
  <c r="E113" i="14" s="1"/>
  <c r="G111" i="14"/>
  <c r="E111" i="14" s="1"/>
  <c r="G109" i="14"/>
  <c r="E109" i="14" s="1"/>
  <c r="G110" i="14"/>
  <c r="E110" i="14" s="1"/>
  <c r="G108" i="14"/>
  <c r="E108" i="14" s="1"/>
  <c r="F107" i="14"/>
  <c r="G107" i="14"/>
  <c r="J107" i="14"/>
  <c r="K107" i="14"/>
  <c r="K106" i="14"/>
  <c r="J106" i="14"/>
  <c r="G106" i="14"/>
  <c r="F106" i="14"/>
  <c r="K105" i="14"/>
  <c r="J105" i="14"/>
  <c r="G105" i="14"/>
  <c r="F105" i="14"/>
  <c r="G104" i="14"/>
  <c r="F104" i="14"/>
  <c r="J104" i="14"/>
  <c r="K104" i="14"/>
  <c r="J50" i="14"/>
  <c r="J48" i="14"/>
  <c r="J54" i="14"/>
  <c r="J66" i="14" s="1"/>
  <c r="K54" i="14"/>
  <c r="K66" i="14" s="1"/>
  <c r="H36" i="14"/>
  <c r="I36" i="14"/>
  <c r="F14" i="14"/>
  <c r="G14" i="14"/>
  <c r="H14" i="14"/>
  <c r="I14" i="14"/>
  <c r="J14" i="14"/>
  <c r="K14" i="14"/>
  <c r="K12" i="14"/>
  <c r="J12" i="14"/>
  <c r="I12" i="14"/>
  <c r="H12" i="14"/>
  <c r="G12" i="14"/>
  <c r="F12" i="14"/>
  <c r="F11" i="14"/>
  <c r="G11" i="14"/>
  <c r="H11" i="14"/>
  <c r="I11" i="14"/>
  <c r="J11" i="14"/>
  <c r="K11" i="14"/>
  <c r="I7" i="14"/>
  <c r="F26" i="14"/>
  <c r="G26" i="14"/>
  <c r="H26" i="14"/>
  <c r="I26" i="14"/>
  <c r="J26" i="14"/>
  <c r="K26" i="14"/>
  <c r="F25" i="14"/>
  <c r="G25" i="14"/>
  <c r="H25" i="14"/>
  <c r="I25" i="14"/>
  <c r="J25" i="14"/>
  <c r="K25" i="14"/>
  <c r="H24" i="14"/>
  <c r="K24" i="14"/>
  <c r="K23" i="14"/>
  <c r="F24" i="14"/>
  <c r="G24" i="14"/>
  <c r="I24" i="14"/>
  <c r="J24" i="14"/>
  <c r="J23" i="14"/>
  <c r="H23" i="14"/>
  <c r="G23" i="14"/>
  <c r="F23" i="14"/>
  <c r="F10" i="14"/>
  <c r="G10" i="14"/>
  <c r="H10" i="14"/>
  <c r="I10" i="14"/>
  <c r="J10" i="14"/>
  <c r="K10" i="14"/>
  <c r="K7" i="14"/>
  <c r="K6" i="14"/>
  <c r="I6" i="14"/>
  <c r="H7" i="14"/>
  <c r="H6" i="14"/>
  <c r="G7" i="14"/>
  <c r="G6" i="14"/>
  <c r="F7" i="14"/>
  <c r="F6" i="14"/>
  <c r="E11" i="14" l="1"/>
  <c r="E14" i="14"/>
  <c r="E7" i="14"/>
  <c r="E26" i="14"/>
  <c r="E12" i="14"/>
  <c r="E24" i="14"/>
  <c r="E23" i="14"/>
  <c r="E25" i="14"/>
  <c r="F19" i="14"/>
  <c r="E36" i="14"/>
  <c r="J36" i="14"/>
  <c r="F36" i="14"/>
  <c r="F8" i="14"/>
  <c r="H8" i="14"/>
  <c r="E106" i="14"/>
  <c r="E122" i="14"/>
  <c r="E124" i="14"/>
  <c r="K27" i="14"/>
  <c r="E107" i="14"/>
  <c r="J51" i="14"/>
  <c r="G27" i="14"/>
  <c r="I27" i="14"/>
  <c r="G8" i="14"/>
  <c r="J8" i="14"/>
  <c r="K129" i="14"/>
  <c r="E105" i="14"/>
  <c r="F27" i="14"/>
  <c r="H27" i="14"/>
  <c r="J129" i="14"/>
  <c r="G129" i="14"/>
  <c r="K8" i="14"/>
  <c r="I8" i="14"/>
  <c r="E104" i="14"/>
  <c r="E6" i="14"/>
  <c r="E10" i="14"/>
  <c r="E123" i="14"/>
  <c r="E120" i="14"/>
  <c r="F129" i="14"/>
  <c r="J27" i="14"/>
  <c r="E127" i="14"/>
  <c r="E126" i="14"/>
  <c r="E125" i="14"/>
  <c r="E121" i="14"/>
  <c r="E119" i="14"/>
  <c r="C18" i="5"/>
  <c r="E27" i="14" l="1"/>
  <c r="E129" i="14"/>
  <c r="E8" i="14"/>
  <c r="K128" i="15"/>
  <c r="J128" i="15"/>
  <c r="I128" i="15"/>
  <c r="H128" i="15"/>
  <c r="G128" i="15"/>
  <c r="F128" i="15"/>
  <c r="E128" i="15"/>
  <c r="K96" i="15"/>
  <c r="J96" i="15"/>
  <c r="I96" i="15"/>
  <c r="H96" i="15"/>
  <c r="G96" i="15"/>
  <c r="F96" i="15"/>
  <c r="E96" i="15"/>
  <c r="C93" i="15"/>
  <c r="C92" i="15"/>
  <c r="C91" i="15"/>
  <c r="C90" i="15"/>
  <c r="C89" i="15"/>
  <c r="C88" i="15"/>
  <c r="K86" i="15"/>
  <c r="J86" i="15"/>
  <c r="I86" i="15"/>
  <c r="H86" i="15"/>
  <c r="G86" i="15"/>
  <c r="F86" i="15"/>
  <c r="E86" i="15"/>
  <c r="C85" i="15"/>
  <c r="C84" i="15"/>
  <c r="C83" i="15"/>
  <c r="C82" i="15"/>
  <c r="C81" i="15"/>
  <c r="C80" i="15"/>
  <c r="C79" i="15"/>
  <c r="C78" i="15"/>
  <c r="K76" i="15"/>
  <c r="J76" i="15"/>
  <c r="I76" i="15"/>
  <c r="H76" i="15"/>
  <c r="G76" i="15"/>
  <c r="F76" i="15"/>
  <c r="E76" i="15"/>
  <c r="C75" i="15"/>
  <c r="C74" i="15"/>
  <c r="C73" i="15"/>
  <c r="C72" i="15"/>
  <c r="C71" i="15"/>
  <c r="C70" i="15"/>
  <c r="C69" i="15"/>
  <c r="C68" i="15"/>
  <c r="K66" i="15"/>
  <c r="J66" i="15"/>
  <c r="I66" i="15"/>
  <c r="H66" i="15"/>
  <c r="G66" i="15"/>
  <c r="F66" i="15"/>
  <c r="E66" i="15"/>
  <c r="C65" i="15"/>
  <c r="C64" i="15"/>
  <c r="C63" i="15"/>
  <c r="C62" i="15"/>
  <c r="C61" i="15"/>
  <c r="K59" i="15"/>
  <c r="J59" i="15"/>
  <c r="I59" i="15"/>
  <c r="H59" i="15"/>
  <c r="G59" i="15"/>
  <c r="F59" i="15"/>
  <c r="E59" i="15"/>
  <c r="C58" i="15"/>
  <c r="C57" i="15"/>
  <c r="C56" i="15"/>
  <c r="C55" i="15"/>
  <c r="C54" i="15"/>
  <c r="C53" i="15"/>
  <c r="C52" i="15"/>
  <c r="C51" i="15"/>
  <c r="C50" i="15"/>
  <c r="C49" i="15"/>
  <c r="C48" i="15"/>
  <c r="C47" i="15"/>
  <c r="C46" i="15"/>
  <c r="K44" i="15"/>
  <c r="J44" i="15"/>
  <c r="I44" i="15"/>
  <c r="H44" i="15"/>
  <c r="G44" i="15"/>
  <c r="F44" i="15"/>
  <c r="E44" i="15"/>
  <c r="C43" i="15"/>
  <c r="C42" i="15"/>
  <c r="C41" i="15"/>
  <c r="C40" i="15"/>
  <c r="C39" i="15"/>
  <c r="C38" i="15"/>
  <c r="C37" i="15"/>
  <c r="C36" i="15"/>
  <c r="C35" i="15"/>
  <c r="C34" i="15"/>
  <c r="C33" i="15"/>
  <c r="C32" i="15"/>
  <c r="K30" i="15"/>
  <c r="J30" i="15"/>
  <c r="I30" i="15"/>
  <c r="H30" i="15"/>
  <c r="G30" i="15"/>
  <c r="F30" i="15"/>
  <c r="E30" i="15"/>
  <c r="C29" i="15"/>
  <c r="C28" i="15"/>
  <c r="C27" i="15"/>
  <c r="C26" i="15"/>
  <c r="C25" i="15"/>
  <c r="K23" i="15"/>
  <c r="J23" i="15"/>
  <c r="I23" i="15"/>
  <c r="H23" i="15"/>
  <c r="G23" i="15"/>
  <c r="F23" i="15"/>
  <c r="E23" i="15"/>
  <c r="C22" i="15"/>
  <c r="C21" i="15"/>
  <c r="C20" i="15"/>
  <c r="C19" i="15"/>
  <c r="C18" i="15"/>
  <c r="C17" i="15"/>
  <c r="K15" i="15"/>
  <c r="J15" i="15"/>
  <c r="I15" i="15"/>
  <c r="H15" i="15"/>
  <c r="G15" i="15"/>
  <c r="F15" i="15"/>
  <c r="E15" i="15"/>
  <c r="C14" i="15"/>
  <c r="C13" i="15"/>
  <c r="C12" i="15"/>
  <c r="C11" i="15"/>
  <c r="C10" i="15"/>
  <c r="C9" i="15"/>
  <c r="C8" i="15"/>
  <c r="C7" i="15"/>
  <c r="K5" i="15"/>
  <c r="J5" i="15"/>
  <c r="I5" i="15"/>
  <c r="I129" i="15" s="1"/>
  <c r="H5" i="15"/>
  <c r="G5" i="15"/>
  <c r="F5" i="15"/>
  <c r="E5" i="15"/>
  <c r="E129" i="15" s="1"/>
  <c r="C4" i="15"/>
  <c r="C3" i="15"/>
  <c r="F129" i="15" l="1"/>
  <c r="J129" i="15"/>
  <c r="G129" i="15"/>
  <c r="K129" i="15"/>
  <c r="H129" i="15"/>
  <c r="B26" i="5"/>
  <c r="Y25" i="5"/>
  <c r="R25" i="5"/>
  <c r="Q25" i="5"/>
  <c r="D25" i="5"/>
  <c r="C24" i="5"/>
  <c r="AE61" i="8"/>
  <c r="AF25" i="5" s="1"/>
  <c r="AD61" i="8"/>
  <c r="AE25" i="5" s="1"/>
  <c r="AC61" i="8"/>
  <c r="AB61" i="8"/>
  <c r="AA61" i="8"/>
  <c r="Z61" i="8"/>
  <c r="AA25" i="5" s="1"/>
  <c r="Y61" i="8"/>
  <c r="Z25" i="5" s="1"/>
  <c r="C61" i="8"/>
  <c r="B23" i="5"/>
  <c r="C32" i="5" l="1"/>
  <c r="F65" i="5" l="1"/>
  <c r="AD21" i="10" l="1"/>
  <c r="AB21" i="10"/>
  <c r="AA21" i="10"/>
  <c r="Z21" i="10"/>
  <c r="Y21" i="10" l="1"/>
  <c r="X21" i="13"/>
  <c r="X25" i="13" s="1"/>
  <c r="W21" i="13"/>
  <c r="V21" i="13"/>
  <c r="U21" i="13"/>
  <c r="T21" i="13"/>
  <c r="T25" i="13" s="1"/>
  <c r="S21" i="13"/>
  <c r="R21" i="13"/>
  <c r="Q21" i="13"/>
  <c r="P21" i="13"/>
  <c r="P25" i="13" s="1"/>
  <c r="O21" i="13"/>
  <c r="N21" i="13"/>
  <c r="M21" i="13"/>
  <c r="L21" i="13"/>
  <c r="L25" i="13" s="1"/>
  <c r="K21" i="13"/>
  <c r="J21" i="13"/>
  <c r="I21" i="13"/>
  <c r="H21" i="13"/>
  <c r="H25" i="13" s="1"/>
  <c r="G21" i="13"/>
  <c r="AE20" i="13"/>
  <c r="AE21" i="13" s="1"/>
  <c r="AD20" i="13"/>
  <c r="AD21" i="13" s="1"/>
  <c r="AC20" i="13"/>
  <c r="AC21" i="13" s="1"/>
  <c r="AB20" i="13"/>
  <c r="AB21" i="13" s="1"/>
  <c r="AA20" i="13"/>
  <c r="AA21" i="13" s="1"/>
  <c r="Z20" i="13"/>
  <c r="Z21" i="13" s="1"/>
  <c r="Y20" i="13"/>
  <c r="Y21" i="13" s="1"/>
  <c r="C20" i="13"/>
  <c r="G24" i="13"/>
  <c r="H24" i="13"/>
  <c r="I24" i="13"/>
  <c r="I25" i="13" s="1"/>
  <c r="J24" i="13"/>
  <c r="K24" i="13"/>
  <c r="K25" i="13" s="1"/>
  <c r="L24" i="13"/>
  <c r="M24" i="13"/>
  <c r="M25" i="13" s="1"/>
  <c r="N24" i="13"/>
  <c r="O24" i="13"/>
  <c r="O25" i="13" s="1"/>
  <c r="P24" i="13"/>
  <c r="Q24" i="13"/>
  <c r="R24" i="13"/>
  <c r="S24" i="13"/>
  <c r="T24" i="13"/>
  <c r="U24" i="13"/>
  <c r="V24" i="13"/>
  <c r="W24" i="13"/>
  <c r="X24" i="13"/>
  <c r="Q25" i="13" l="1"/>
  <c r="U25" i="13"/>
  <c r="J25" i="13"/>
  <c r="N25" i="13"/>
  <c r="R25" i="13"/>
  <c r="V25" i="13"/>
  <c r="G25" i="13"/>
  <c r="S25" i="13"/>
  <c r="W25" i="13"/>
  <c r="C80" i="14"/>
  <c r="C16" i="13" s="1"/>
  <c r="C24" i="11"/>
  <c r="C25" i="11"/>
  <c r="C26" i="11"/>
  <c r="C27" i="11"/>
  <c r="C28" i="11"/>
  <c r="C29" i="11"/>
  <c r="C30" i="11"/>
  <c r="C23" i="13"/>
  <c r="D69" i="5" s="1"/>
  <c r="F69" i="5"/>
  <c r="J69" i="5"/>
  <c r="K69" i="5"/>
  <c r="P69" i="5"/>
  <c r="S69" i="5"/>
  <c r="T69" i="5"/>
  <c r="Y69" i="5"/>
  <c r="C17" i="14"/>
  <c r="C18" i="4" s="1"/>
  <c r="C16" i="14"/>
  <c r="C17" i="4" s="1"/>
  <c r="C15" i="14"/>
  <c r="C11" i="9" s="1"/>
  <c r="C14" i="14"/>
  <c r="C13" i="8" s="1"/>
  <c r="C13" i="14"/>
  <c r="C12" i="8" s="1"/>
  <c r="C12" i="14"/>
  <c r="C16" i="4" s="1"/>
  <c r="C11" i="14"/>
  <c r="C15" i="4" s="1"/>
  <c r="C98" i="14"/>
  <c r="C35" i="4" s="1"/>
  <c r="C97" i="14"/>
  <c r="C34" i="4" s="1"/>
  <c r="C96" i="14"/>
  <c r="C33" i="4" s="1"/>
  <c r="C95" i="14"/>
  <c r="C32" i="4" s="1"/>
  <c r="C99" i="14"/>
  <c r="C36" i="4" s="1"/>
  <c r="C39" i="14"/>
  <c r="C19" i="9" s="1"/>
  <c r="C45" i="14"/>
  <c r="C17" i="11" s="1"/>
  <c r="C46" i="14"/>
  <c r="C21" i="9" s="1"/>
  <c r="C47" i="14"/>
  <c r="C16" i="10" s="1"/>
  <c r="C49" i="14"/>
  <c r="C22" i="9" s="1"/>
  <c r="C50" i="14"/>
  <c r="C18" i="10" s="1"/>
  <c r="C53" i="14"/>
  <c r="C65" i="14"/>
  <c r="C23" i="10" s="1"/>
  <c r="C64" i="14"/>
  <c r="C63" i="14"/>
  <c r="C62" i="14"/>
  <c r="C61" i="14"/>
  <c r="C60" i="14"/>
  <c r="C59" i="14"/>
  <c r="C58" i="14"/>
  <c r="C54" i="14"/>
  <c r="C57" i="14"/>
  <c r="C56" i="14"/>
  <c r="C22" i="11" s="1"/>
  <c r="C55" i="14"/>
  <c r="C21" i="11" s="1"/>
  <c r="AE70" i="11"/>
  <c r="C60" i="5"/>
  <c r="F60" i="5"/>
  <c r="C61" i="5"/>
  <c r="F61" i="5"/>
  <c r="C62" i="5"/>
  <c r="F62" i="5"/>
  <c r="C63" i="5"/>
  <c r="F63" i="5"/>
  <c r="C59" i="5"/>
  <c r="F59" i="5"/>
  <c r="AD70" i="11"/>
  <c r="AC70" i="11"/>
  <c r="AB70" i="11"/>
  <c r="AA70" i="11"/>
  <c r="Y70" i="11"/>
  <c r="AE68" i="11"/>
  <c r="AD68" i="11"/>
  <c r="AB68" i="11"/>
  <c r="AA68" i="11"/>
  <c r="Z68" i="11"/>
  <c r="Y68" i="11"/>
  <c r="D63" i="5"/>
  <c r="AE67" i="11"/>
  <c r="AD67" i="11"/>
  <c r="AC67" i="11"/>
  <c r="AB67" i="11"/>
  <c r="AA67" i="11"/>
  <c r="Z67" i="11"/>
  <c r="Y67" i="11"/>
  <c r="D62" i="5"/>
  <c r="C35" i="8" l="1"/>
  <c r="AE23" i="13"/>
  <c r="AE24" i="13" s="1"/>
  <c r="AD23" i="13"/>
  <c r="AD24" i="13" s="1"/>
  <c r="AC23" i="13"/>
  <c r="AC24" i="13" s="1"/>
  <c r="AB23" i="13"/>
  <c r="AB24" i="13" s="1"/>
  <c r="AA23" i="13"/>
  <c r="AA24" i="13" s="1"/>
  <c r="Z23" i="13"/>
  <c r="Z24" i="13" s="1"/>
  <c r="Y23" i="13"/>
  <c r="Y24" i="13" s="1"/>
  <c r="C67" i="8"/>
  <c r="C66" i="8"/>
  <c r="C65" i="8"/>
  <c r="C64" i="8"/>
  <c r="C68" i="8"/>
  <c r="B7" i="5"/>
  <c r="B46" i="5"/>
  <c r="B35" i="5"/>
  <c r="B14" i="5"/>
  <c r="AF8" i="5"/>
  <c r="AE8" i="5"/>
  <c r="AA8" i="5"/>
  <c r="Z8" i="5"/>
  <c r="D8" i="5"/>
  <c r="B9" i="5"/>
  <c r="C47" i="5"/>
  <c r="F47" i="5"/>
  <c r="H47" i="5"/>
  <c r="I47" i="5"/>
  <c r="J47" i="5"/>
  <c r="K47" i="5"/>
  <c r="P47" i="5"/>
  <c r="C48" i="5"/>
  <c r="F48" i="5"/>
  <c r="H48" i="5"/>
  <c r="I48" i="5"/>
  <c r="J48" i="5"/>
  <c r="K48" i="5"/>
  <c r="P48" i="5"/>
  <c r="C49" i="5"/>
  <c r="F49" i="5"/>
  <c r="H49" i="5"/>
  <c r="I49" i="5"/>
  <c r="J49" i="5"/>
  <c r="K49" i="5"/>
  <c r="P49" i="5"/>
  <c r="C50" i="5"/>
  <c r="F50" i="5"/>
  <c r="H50" i="5"/>
  <c r="I50" i="5"/>
  <c r="J50" i="5"/>
  <c r="K50" i="5"/>
  <c r="P50" i="5"/>
  <c r="C51" i="5"/>
  <c r="F51" i="5"/>
  <c r="H51" i="5"/>
  <c r="I51" i="5"/>
  <c r="J51" i="5"/>
  <c r="K51" i="5"/>
  <c r="P51" i="5"/>
  <c r="C52" i="5"/>
  <c r="F52" i="5"/>
  <c r="H52" i="5"/>
  <c r="I52" i="5"/>
  <c r="J52" i="5"/>
  <c r="K52" i="5"/>
  <c r="P52" i="5"/>
  <c r="C53" i="5"/>
  <c r="F53" i="5"/>
  <c r="H53" i="5"/>
  <c r="I53" i="5"/>
  <c r="J53" i="5"/>
  <c r="K53" i="5"/>
  <c r="P53" i="5"/>
  <c r="C54" i="5"/>
  <c r="F54" i="5"/>
  <c r="H54" i="5"/>
  <c r="I54" i="5"/>
  <c r="J54" i="5"/>
  <c r="K54" i="5"/>
  <c r="P54" i="5"/>
  <c r="C55" i="5"/>
  <c r="F55" i="5"/>
  <c r="H55" i="5"/>
  <c r="I55" i="5"/>
  <c r="J55" i="5"/>
  <c r="K55" i="5"/>
  <c r="P55" i="5"/>
  <c r="C56" i="5"/>
  <c r="F56" i="5"/>
  <c r="H56" i="5"/>
  <c r="I56" i="5"/>
  <c r="J56" i="5"/>
  <c r="K56" i="5"/>
  <c r="P56" i="5"/>
  <c r="C57" i="5"/>
  <c r="F57" i="5"/>
  <c r="H57" i="5"/>
  <c r="I57" i="5"/>
  <c r="J57" i="5"/>
  <c r="K57" i="5"/>
  <c r="P57" i="5"/>
  <c r="C58" i="5"/>
  <c r="F58" i="5"/>
  <c r="H58" i="5"/>
  <c r="I58" i="5"/>
  <c r="J58" i="5"/>
  <c r="K58" i="5"/>
  <c r="P58" i="5"/>
  <c r="J65" i="5"/>
  <c r="K65" i="5"/>
  <c r="P65" i="5"/>
  <c r="S65" i="5"/>
  <c r="T65" i="5"/>
  <c r="Y65" i="5"/>
  <c r="C36" i="5"/>
  <c r="F36" i="5"/>
  <c r="H36" i="5"/>
  <c r="I36" i="5"/>
  <c r="P36" i="5"/>
  <c r="C37" i="5"/>
  <c r="F37" i="5"/>
  <c r="H37" i="5"/>
  <c r="I37" i="5"/>
  <c r="P37" i="5"/>
  <c r="C39" i="5"/>
  <c r="F39" i="5"/>
  <c r="Q39" i="5"/>
  <c r="R39" i="5"/>
  <c r="Y39" i="5"/>
  <c r="C40" i="5"/>
  <c r="F40" i="5"/>
  <c r="C41" i="5"/>
  <c r="F41" i="5"/>
  <c r="Q41" i="5"/>
  <c r="R41" i="5"/>
  <c r="Y41" i="5"/>
  <c r="C43" i="5"/>
  <c r="F43" i="5"/>
  <c r="C44" i="5"/>
  <c r="F44" i="5"/>
  <c r="Q44" i="5"/>
  <c r="R44" i="5"/>
  <c r="Y44" i="5"/>
  <c r="C45" i="5"/>
  <c r="F45" i="5"/>
  <c r="C27" i="5"/>
  <c r="F27" i="5"/>
  <c r="H27" i="5"/>
  <c r="I27" i="5"/>
  <c r="P27" i="5"/>
  <c r="C28" i="5"/>
  <c r="F28" i="5"/>
  <c r="H28" i="5"/>
  <c r="I28" i="5"/>
  <c r="P28" i="5"/>
  <c r="C29" i="5"/>
  <c r="F29" i="5"/>
  <c r="H29" i="5"/>
  <c r="I29" i="5"/>
  <c r="P29" i="5"/>
  <c r="C30" i="5"/>
  <c r="F30" i="5"/>
  <c r="J30" i="5"/>
  <c r="K30" i="5"/>
  <c r="P30" i="5"/>
  <c r="C31" i="5"/>
  <c r="F31" i="5"/>
  <c r="J31" i="5"/>
  <c r="K31" i="5"/>
  <c r="P31" i="5"/>
  <c r="F32" i="5"/>
  <c r="Q32" i="5"/>
  <c r="R32" i="5"/>
  <c r="Y32" i="5"/>
  <c r="C33" i="5"/>
  <c r="F33" i="5"/>
  <c r="Q33" i="5"/>
  <c r="R33" i="5"/>
  <c r="Y33" i="5"/>
  <c r="C34" i="5"/>
  <c r="F34" i="5"/>
  <c r="Q34" i="5"/>
  <c r="R34" i="5"/>
  <c r="Y34" i="5"/>
  <c r="B16" i="5"/>
  <c r="C16" i="5"/>
  <c r="F16" i="5"/>
  <c r="H16" i="5"/>
  <c r="I16" i="5"/>
  <c r="P16" i="5"/>
  <c r="B17" i="5"/>
  <c r="C17" i="5"/>
  <c r="F17" i="5"/>
  <c r="H17" i="5"/>
  <c r="I17" i="5"/>
  <c r="P17" i="5"/>
  <c r="B18" i="5"/>
  <c r="F18" i="5"/>
  <c r="H18" i="5"/>
  <c r="I18" i="5"/>
  <c r="P18" i="5"/>
  <c r="B19" i="5"/>
  <c r="C19" i="5"/>
  <c r="F19" i="5"/>
  <c r="H19" i="5"/>
  <c r="I19" i="5"/>
  <c r="P19" i="5"/>
  <c r="B20" i="5"/>
  <c r="C20" i="5"/>
  <c r="F20" i="5"/>
  <c r="S20" i="5"/>
  <c r="T20" i="5"/>
  <c r="Y20" i="5"/>
  <c r="B21" i="5"/>
  <c r="C21" i="5"/>
  <c r="F21" i="5"/>
  <c r="S21" i="5"/>
  <c r="T21" i="5"/>
  <c r="Y21" i="5"/>
  <c r="B22" i="5"/>
  <c r="C22" i="5"/>
  <c r="F22" i="5"/>
  <c r="Q22" i="5"/>
  <c r="R22" i="5"/>
  <c r="Y22" i="5"/>
  <c r="C23" i="5"/>
  <c r="F23" i="5"/>
  <c r="Q23" i="5"/>
  <c r="R23" i="5"/>
  <c r="Y23" i="5"/>
  <c r="F24" i="5"/>
  <c r="Q24" i="5"/>
  <c r="R24" i="5"/>
  <c r="Y24" i="5"/>
  <c r="C15" i="5"/>
  <c r="F15" i="5"/>
  <c r="H15" i="5"/>
  <c r="I15" i="5"/>
  <c r="P15" i="5"/>
  <c r="B15" i="5"/>
  <c r="Y11" i="5"/>
  <c r="Y12" i="5"/>
  <c r="Y13" i="5"/>
  <c r="C9" i="5"/>
  <c r="F9" i="5"/>
  <c r="H9" i="5"/>
  <c r="I9" i="5"/>
  <c r="P9" i="5"/>
  <c r="B10" i="5"/>
  <c r="C10" i="5"/>
  <c r="F10" i="5"/>
  <c r="H10" i="5"/>
  <c r="I10" i="5"/>
  <c r="P10" i="5"/>
  <c r="B11" i="5"/>
  <c r="C11" i="5"/>
  <c r="F11" i="5"/>
  <c r="Q11" i="5"/>
  <c r="R11" i="5"/>
  <c r="B12" i="5"/>
  <c r="C12" i="5"/>
  <c r="F12" i="5"/>
  <c r="Q12" i="5"/>
  <c r="R12" i="5"/>
  <c r="B13" i="5"/>
  <c r="C13" i="5"/>
  <c r="F13" i="5"/>
  <c r="Q13" i="5"/>
  <c r="R13" i="5"/>
  <c r="AA69" i="5" l="1"/>
  <c r="AB69" i="5"/>
  <c r="AF69" i="5"/>
  <c r="AE69" i="5"/>
  <c r="Z69" i="5"/>
  <c r="AE18" i="13"/>
  <c r="AD18" i="13"/>
  <c r="AC18" i="13"/>
  <c r="AB18" i="13"/>
  <c r="AA18" i="13"/>
  <c r="Z18" i="13"/>
  <c r="Y18" i="13"/>
  <c r="H48" i="11"/>
  <c r="I48" i="11"/>
  <c r="J48" i="11"/>
  <c r="K48" i="11"/>
  <c r="L48" i="11"/>
  <c r="M48" i="11"/>
  <c r="N48" i="11"/>
  <c r="O48" i="11"/>
  <c r="P48" i="11"/>
  <c r="Q48" i="11"/>
  <c r="R48" i="11"/>
  <c r="S48" i="11"/>
  <c r="T48" i="11"/>
  <c r="U48" i="11"/>
  <c r="V48" i="11"/>
  <c r="W48" i="11"/>
  <c r="X48" i="11"/>
  <c r="G48" i="11"/>
  <c r="AE47" i="11"/>
  <c r="AC47" i="11"/>
  <c r="AB47" i="11"/>
  <c r="AA47" i="11"/>
  <c r="Z47" i="11"/>
  <c r="Y47" i="11" l="1"/>
  <c r="AD24" i="4"/>
  <c r="AD23" i="4"/>
  <c r="H129" i="14" l="1"/>
  <c r="I129" i="14"/>
  <c r="F93" i="14"/>
  <c r="G93" i="14"/>
  <c r="I93" i="14"/>
  <c r="F83" i="14"/>
  <c r="G83" i="14"/>
  <c r="I83" i="14"/>
  <c r="I73" i="14"/>
  <c r="I66" i="14"/>
  <c r="AB27" i="11"/>
  <c r="C76" i="14"/>
  <c r="C12" i="13" s="1"/>
  <c r="C77" i="14"/>
  <c r="C13" i="13" s="1"/>
  <c r="C78" i="14"/>
  <c r="C14" i="13" s="1"/>
  <c r="C79" i="14"/>
  <c r="C15" i="13" s="1"/>
  <c r="C81" i="14"/>
  <c r="C17" i="13" s="1"/>
  <c r="C82" i="14"/>
  <c r="C18" i="13" s="1"/>
  <c r="C75" i="14"/>
  <c r="C11" i="13" s="1"/>
  <c r="C86" i="14"/>
  <c r="C87" i="14"/>
  <c r="C88" i="14"/>
  <c r="C89" i="14"/>
  <c r="C90" i="14"/>
  <c r="C91" i="14"/>
  <c r="C92" i="14"/>
  <c r="C85" i="14"/>
  <c r="C69" i="14"/>
  <c r="C27" i="8" s="1"/>
  <c r="C70" i="14"/>
  <c r="C28" i="8" s="1"/>
  <c r="C71" i="14"/>
  <c r="C72" i="14"/>
  <c r="C68" i="14"/>
  <c r="C26" i="8" s="1"/>
  <c r="C22" i="14"/>
  <c r="C17" i="8" s="1"/>
  <c r="C23" i="14"/>
  <c r="C18" i="8" s="1"/>
  <c r="C24" i="14"/>
  <c r="C19" i="8" s="1"/>
  <c r="C25" i="14"/>
  <c r="C14" i="9" s="1"/>
  <c r="C26" i="14"/>
  <c r="C15" i="9" s="1"/>
  <c r="C21" i="14"/>
  <c r="C16" i="8" s="1"/>
  <c r="C10" i="14"/>
  <c r="C11" i="8" s="1"/>
  <c r="C7" i="14"/>
  <c r="C12" i="4" s="1"/>
  <c r="C6" i="14"/>
  <c r="C11" i="4" s="1"/>
  <c r="C30" i="14"/>
  <c r="C22" i="4" s="1"/>
  <c r="C31" i="14"/>
  <c r="C23" i="4" s="1"/>
  <c r="C32" i="14"/>
  <c r="C24" i="4" s="1"/>
  <c r="C33" i="14"/>
  <c r="C29" i="14"/>
  <c r="C21" i="4" s="1"/>
  <c r="C41" i="14"/>
  <c r="C16" i="11" s="1"/>
  <c r="C42" i="14"/>
  <c r="C43" i="14"/>
  <c r="C44" i="14"/>
  <c r="C48" i="14"/>
  <c r="C38" i="14"/>
  <c r="C18" i="9" s="1"/>
  <c r="C34" i="14"/>
  <c r="C22" i="8" l="1"/>
  <c r="C31" i="4"/>
  <c r="C46" i="10"/>
  <c r="D36" i="5" s="1"/>
  <c r="C52" i="4"/>
  <c r="D13" i="5" s="1"/>
  <c r="C51" i="4"/>
  <c r="D12" i="5" s="1"/>
  <c r="C50" i="4"/>
  <c r="D11" i="5" s="1"/>
  <c r="C49" i="4"/>
  <c r="D10" i="5" s="1"/>
  <c r="C48" i="4"/>
  <c r="D9" i="5" s="1"/>
  <c r="C52" i="9" l="1"/>
  <c r="D34" i="5" s="1"/>
  <c r="C51" i="9"/>
  <c r="D33" i="5" s="1"/>
  <c r="C50" i="9"/>
  <c r="D32" i="5" s="1"/>
  <c r="C49" i="9"/>
  <c r="D31" i="5" s="1"/>
  <c r="C48" i="9"/>
  <c r="D30" i="5" s="1"/>
  <c r="D29" i="5"/>
  <c r="C46" i="9"/>
  <c r="D28" i="5" s="1"/>
  <c r="C45" i="9"/>
  <c r="D27" i="5" s="1"/>
  <c r="AE12" i="13"/>
  <c r="AE13" i="13"/>
  <c r="AE14" i="13"/>
  <c r="AE15" i="13"/>
  <c r="AE16" i="13"/>
  <c r="AE17" i="13"/>
  <c r="AD12" i="13"/>
  <c r="AD13" i="13"/>
  <c r="AD14" i="13"/>
  <c r="AD15" i="13"/>
  <c r="AD16" i="13"/>
  <c r="AD17" i="13"/>
  <c r="AC12" i="13"/>
  <c r="AC13" i="13"/>
  <c r="AC14" i="13"/>
  <c r="AC15" i="13"/>
  <c r="AC16" i="13"/>
  <c r="AC17" i="13"/>
  <c r="AB12" i="13"/>
  <c r="AB13" i="13"/>
  <c r="AB14" i="13"/>
  <c r="AB15" i="13"/>
  <c r="AB16" i="13"/>
  <c r="AB17" i="13"/>
  <c r="AA12" i="13"/>
  <c r="AA13" i="13"/>
  <c r="AA14" i="13"/>
  <c r="AA15" i="13"/>
  <c r="AA16" i="13"/>
  <c r="AA17" i="13"/>
  <c r="Z12" i="13"/>
  <c r="Z13" i="13"/>
  <c r="Z14" i="13"/>
  <c r="Z15" i="13"/>
  <c r="Z16" i="13"/>
  <c r="Z17" i="13"/>
  <c r="Y12" i="13"/>
  <c r="Y13" i="13"/>
  <c r="Y14" i="13"/>
  <c r="Y15" i="13"/>
  <c r="Y16" i="13"/>
  <c r="Y17" i="13"/>
  <c r="AE11" i="13" l="1"/>
  <c r="AE25" i="13" s="1"/>
  <c r="AD11" i="13"/>
  <c r="AD25" i="13" s="1"/>
  <c r="AC11" i="13"/>
  <c r="AC25" i="13" s="1"/>
  <c r="AB11" i="13"/>
  <c r="AB25" i="13" s="1"/>
  <c r="AA11" i="13"/>
  <c r="AA25" i="13" s="1"/>
  <c r="Z11" i="13"/>
  <c r="Z25" i="13" s="1"/>
  <c r="Y11" i="13"/>
  <c r="Y25" i="13" s="1"/>
  <c r="AE46" i="10" l="1"/>
  <c r="AF36" i="5" s="1"/>
  <c r="AF37" i="5"/>
  <c r="AF39" i="5"/>
  <c r="AF41" i="5"/>
  <c r="AF44" i="5"/>
  <c r="AD46" i="10"/>
  <c r="AE36" i="5" s="1"/>
  <c r="AE37" i="5"/>
  <c r="AE39" i="5"/>
  <c r="AE41" i="5"/>
  <c r="AE44" i="5"/>
  <c r="AC46" i="10"/>
  <c r="AB46" i="10"/>
  <c r="AA46" i="10"/>
  <c r="Z46" i="10"/>
  <c r="AA36" i="5" s="1"/>
  <c r="AA37" i="5"/>
  <c r="AA39" i="5"/>
  <c r="AA41" i="5"/>
  <c r="AA44" i="5"/>
  <c r="Y46" i="10"/>
  <c r="Z36" i="5" s="1"/>
  <c r="Y47" i="10"/>
  <c r="Z37" i="5" s="1"/>
  <c r="Z39" i="5"/>
  <c r="Z41" i="5"/>
  <c r="Z44" i="5"/>
  <c r="AB48" i="9"/>
  <c r="Y48" i="9"/>
  <c r="Z30" i="5" s="1"/>
  <c r="AE46" i="9"/>
  <c r="AF28" i="5" s="1"/>
  <c r="AE47" i="9"/>
  <c r="AF29" i="5" s="1"/>
  <c r="AE48" i="9"/>
  <c r="AF30" i="5" s="1"/>
  <c r="AE49" i="9"/>
  <c r="AF31" i="5" s="1"/>
  <c r="AE50" i="9"/>
  <c r="AF32" i="5" s="1"/>
  <c r="AE51" i="9"/>
  <c r="AF33" i="5" s="1"/>
  <c r="AE52" i="9"/>
  <c r="AF34" i="5" s="1"/>
  <c r="AD46" i="9"/>
  <c r="AE28" i="5" s="1"/>
  <c r="AD47" i="9"/>
  <c r="AE29" i="5" s="1"/>
  <c r="AD48" i="9"/>
  <c r="AE30" i="5" s="1"/>
  <c r="AD49" i="9"/>
  <c r="AE31" i="5" s="1"/>
  <c r="AD50" i="9"/>
  <c r="AE32" i="5" s="1"/>
  <c r="AD51" i="9"/>
  <c r="AE33" i="5" s="1"/>
  <c r="AD52" i="9"/>
  <c r="AE34" i="5" s="1"/>
  <c r="AC46" i="9"/>
  <c r="AC47" i="9"/>
  <c r="AC48" i="9"/>
  <c r="AC49" i="9"/>
  <c r="AC50" i="9"/>
  <c r="AC51" i="9"/>
  <c r="AC52" i="9"/>
  <c r="AB46" i="9"/>
  <c r="AB47" i="9"/>
  <c r="AB49" i="9"/>
  <c r="AB50" i="9"/>
  <c r="AB51" i="9"/>
  <c r="AB52" i="9"/>
  <c r="AA46" i="9"/>
  <c r="AA47" i="9"/>
  <c r="AA48" i="9"/>
  <c r="AB30" i="5" s="1"/>
  <c r="AA49" i="9"/>
  <c r="AB31" i="5" s="1"/>
  <c r="AA50" i="9"/>
  <c r="AA51" i="9"/>
  <c r="AA52" i="9"/>
  <c r="Z46" i="9"/>
  <c r="AA28" i="5" s="1"/>
  <c r="Z47" i="9"/>
  <c r="AA29" i="5" s="1"/>
  <c r="Z48" i="9"/>
  <c r="AA30" i="5" s="1"/>
  <c r="Z49" i="9"/>
  <c r="AA31" i="5" s="1"/>
  <c r="Z50" i="9"/>
  <c r="AA32" i="5" s="1"/>
  <c r="Z51" i="9"/>
  <c r="AA33" i="5" s="1"/>
  <c r="Z52" i="9"/>
  <c r="AA34" i="5" s="1"/>
  <c r="Y46" i="9"/>
  <c r="Z28" i="5" s="1"/>
  <c r="Y47" i="9"/>
  <c r="Z29" i="5" s="1"/>
  <c r="Y49" i="9"/>
  <c r="Z31" i="5" s="1"/>
  <c r="Y50" i="9"/>
  <c r="Z32" i="5" s="1"/>
  <c r="Y51" i="9"/>
  <c r="Z33" i="5" s="1"/>
  <c r="Y52" i="9"/>
  <c r="Z34" i="5" s="1"/>
  <c r="AE53" i="11" l="1"/>
  <c r="AF48" i="5" s="1"/>
  <c r="AE54" i="11"/>
  <c r="AF49" i="5" s="1"/>
  <c r="AE55" i="11"/>
  <c r="AF50" i="5" s="1"/>
  <c r="AE56" i="11"/>
  <c r="AF51" i="5" s="1"/>
  <c r="AE57" i="11"/>
  <c r="AF52" i="5" s="1"/>
  <c r="AE58" i="11"/>
  <c r="AF53" i="5" s="1"/>
  <c r="AE59" i="11"/>
  <c r="AF54" i="5" s="1"/>
  <c r="AE60" i="11"/>
  <c r="AF55" i="5" s="1"/>
  <c r="AE61" i="11"/>
  <c r="AF56" i="5" s="1"/>
  <c r="AE62" i="11"/>
  <c r="AF57" i="5" s="1"/>
  <c r="AE63" i="11"/>
  <c r="AF58" i="5" s="1"/>
  <c r="AE64" i="11"/>
  <c r="AE65" i="11"/>
  <c r="AE66" i="11"/>
  <c r="AF65" i="5"/>
  <c r="AD53" i="11"/>
  <c r="AE48" i="5" s="1"/>
  <c r="AD54" i="11"/>
  <c r="AE49" i="5" s="1"/>
  <c r="AD55" i="11"/>
  <c r="AE50" i="5" s="1"/>
  <c r="AD56" i="11"/>
  <c r="AE51" i="5" s="1"/>
  <c r="AD57" i="11"/>
  <c r="AE52" i="5" s="1"/>
  <c r="AD58" i="11"/>
  <c r="AE53" i="5" s="1"/>
  <c r="AD59" i="11"/>
  <c r="AE54" i="5" s="1"/>
  <c r="AD60" i="11"/>
  <c r="AE55" i="5" s="1"/>
  <c r="AD61" i="11"/>
  <c r="AE56" i="5" s="1"/>
  <c r="AD62" i="11"/>
  <c r="AE57" i="5" s="1"/>
  <c r="AD63" i="11"/>
  <c r="AE58" i="5" s="1"/>
  <c r="AD64" i="11"/>
  <c r="AD65" i="11"/>
  <c r="AD66" i="11"/>
  <c r="AE65" i="5"/>
  <c r="AC53" i="11"/>
  <c r="AC54" i="11"/>
  <c r="AC55" i="11"/>
  <c r="AC56" i="11"/>
  <c r="AC57" i="11"/>
  <c r="AC58" i="11"/>
  <c r="AC59" i="11"/>
  <c r="AC60" i="11"/>
  <c r="AC61" i="11"/>
  <c r="AC62" i="11"/>
  <c r="AC63" i="11"/>
  <c r="AC64" i="11"/>
  <c r="AC65" i="11"/>
  <c r="AC66" i="11"/>
  <c r="AB53" i="11"/>
  <c r="AB54" i="11"/>
  <c r="AB55" i="11"/>
  <c r="AB56" i="11"/>
  <c r="AB57" i="11"/>
  <c r="AB58" i="11"/>
  <c r="AB59" i="11"/>
  <c r="AB60" i="11"/>
  <c r="AB61" i="11"/>
  <c r="AB62" i="11"/>
  <c r="AB63" i="11"/>
  <c r="AB64" i="11"/>
  <c r="AB65" i="11"/>
  <c r="AB66" i="11"/>
  <c r="AA53" i="11"/>
  <c r="AB48" i="5" s="1"/>
  <c r="AA54" i="11"/>
  <c r="AB49" i="5" s="1"/>
  <c r="AA55" i="11"/>
  <c r="AB50" i="5" s="1"/>
  <c r="AA56" i="11"/>
  <c r="AB51" i="5" s="1"/>
  <c r="AA57" i="11"/>
  <c r="AB52" i="5" s="1"/>
  <c r="AA58" i="11"/>
  <c r="AB53" i="5" s="1"/>
  <c r="AA59" i="11"/>
  <c r="AB54" i="5" s="1"/>
  <c r="AA60" i="11"/>
  <c r="AB55" i="5" s="1"/>
  <c r="AA61" i="11"/>
  <c r="AB56" i="5" s="1"/>
  <c r="AA62" i="11"/>
  <c r="AB57" i="5" s="1"/>
  <c r="AA63" i="11"/>
  <c r="AB58" i="5" s="1"/>
  <c r="AA64" i="11"/>
  <c r="AA65" i="11"/>
  <c r="AA66" i="11"/>
  <c r="AB65" i="5"/>
  <c r="Z53" i="11"/>
  <c r="AA48" i="5" s="1"/>
  <c r="Z54" i="11"/>
  <c r="AA49" i="5" s="1"/>
  <c r="Z55" i="11"/>
  <c r="AA50" i="5" s="1"/>
  <c r="Z56" i="11"/>
  <c r="AA51" i="5" s="1"/>
  <c r="Z57" i="11"/>
  <c r="AA52" i="5" s="1"/>
  <c r="Z58" i="11"/>
  <c r="AA53" i="5" s="1"/>
  <c r="Z59" i="11"/>
  <c r="AA54" i="5" s="1"/>
  <c r="Z60" i="11"/>
  <c r="AA55" i="5" s="1"/>
  <c r="Z61" i="11"/>
  <c r="AA56" i="5" s="1"/>
  <c r="Z62" i="11"/>
  <c r="AA57" i="5" s="1"/>
  <c r="Z63" i="11"/>
  <c r="AA58" i="5" s="1"/>
  <c r="Z64" i="11"/>
  <c r="Z65" i="11"/>
  <c r="Z66" i="11"/>
  <c r="Y53" i="11"/>
  <c r="Z48" i="5" s="1"/>
  <c r="Y54" i="11"/>
  <c r="Z49" i="5" s="1"/>
  <c r="Y55" i="11"/>
  <c r="Z50" i="5" s="1"/>
  <c r="Y56" i="11"/>
  <c r="Z51" i="5" s="1"/>
  <c r="Y57" i="11"/>
  <c r="Z52" i="5" s="1"/>
  <c r="Y58" i="11"/>
  <c r="Z53" i="5" s="1"/>
  <c r="Y59" i="11"/>
  <c r="Z54" i="5" s="1"/>
  <c r="Y60" i="11"/>
  <c r="Z55" i="5" s="1"/>
  <c r="Y61" i="11"/>
  <c r="Z56" i="5" s="1"/>
  <c r="Y62" i="11"/>
  <c r="Z57" i="5" s="1"/>
  <c r="Y63" i="11"/>
  <c r="Z58" i="5" s="1"/>
  <c r="Y64" i="11"/>
  <c r="Y65" i="11"/>
  <c r="Y66" i="11"/>
  <c r="Z65" i="5"/>
  <c r="Y52" i="11"/>
  <c r="Z47" i="5" s="1"/>
  <c r="D61" i="5"/>
  <c r="D65" i="5"/>
  <c r="D59" i="5"/>
  <c r="D60" i="5"/>
  <c r="C53" i="11"/>
  <c r="D48" i="5" s="1"/>
  <c r="D49" i="5"/>
  <c r="D50" i="5"/>
  <c r="D51" i="5"/>
  <c r="D52" i="5"/>
  <c r="D53" i="5"/>
  <c r="D54" i="5"/>
  <c r="D55" i="5"/>
  <c r="D56" i="5"/>
  <c r="D57" i="5"/>
  <c r="D58" i="5"/>
  <c r="AE52" i="11"/>
  <c r="AF47" i="5" s="1"/>
  <c r="AD52" i="11"/>
  <c r="AE47" i="5" s="1"/>
  <c r="AC52" i="11"/>
  <c r="AB52" i="11"/>
  <c r="AA52" i="11"/>
  <c r="AB47" i="5" s="1"/>
  <c r="Z52" i="11"/>
  <c r="AA47" i="5" s="1"/>
  <c r="C52" i="11"/>
  <c r="D47" i="5" s="1"/>
  <c r="C53" i="10"/>
  <c r="D44" i="5" s="1"/>
  <c r="C51" i="10"/>
  <c r="D41" i="5" s="1"/>
  <c r="C50" i="10"/>
  <c r="D40" i="5" s="1"/>
  <c r="C49" i="10"/>
  <c r="D39" i="5" s="1"/>
  <c r="C55" i="10"/>
  <c r="C54" i="10"/>
  <c r="D45" i="5" s="1"/>
  <c r="C47" i="10"/>
  <c r="D37" i="5" s="1"/>
  <c r="AE35" i="9"/>
  <c r="AE39" i="9" s="1"/>
  <c r="AE36" i="9"/>
  <c r="AE37" i="9"/>
  <c r="AE38" i="9"/>
  <c r="AD35" i="9"/>
  <c r="AD36" i="9"/>
  <c r="AD37" i="9"/>
  <c r="AD38" i="9"/>
  <c r="AC35" i="9"/>
  <c r="AC36" i="9"/>
  <c r="AC37" i="9"/>
  <c r="AC38" i="9"/>
  <c r="AB35" i="9"/>
  <c r="AB36" i="9"/>
  <c r="AB37" i="9"/>
  <c r="AB38" i="9"/>
  <c r="AA35" i="9"/>
  <c r="AA36" i="9"/>
  <c r="AA37" i="9"/>
  <c r="AA38" i="9"/>
  <c r="Z35" i="9"/>
  <c r="Y35" i="9" s="1"/>
  <c r="Z36" i="9"/>
  <c r="Z37" i="9"/>
  <c r="Y37" i="9" s="1"/>
  <c r="Z38" i="9"/>
  <c r="Y38" i="9" s="1"/>
  <c r="C56" i="8"/>
  <c r="D20" i="5" s="1"/>
  <c r="AE45" i="9"/>
  <c r="AF27" i="5" s="1"/>
  <c r="AD45" i="9"/>
  <c r="AE27" i="5" s="1"/>
  <c r="AC45" i="9"/>
  <c r="AB45" i="9"/>
  <c r="AA45" i="9"/>
  <c r="Z45" i="9"/>
  <c r="AA27" i="5" s="1"/>
  <c r="Y45" i="9"/>
  <c r="Z27" i="5" s="1"/>
  <c r="C60" i="8"/>
  <c r="D24" i="5" s="1"/>
  <c r="C59" i="8"/>
  <c r="C58" i="8"/>
  <c r="D22" i="5" s="1"/>
  <c r="AE57" i="8"/>
  <c r="AF21" i="5" s="1"/>
  <c r="AE58" i="8"/>
  <c r="AF22" i="5" s="1"/>
  <c r="AE59" i="8"/>
  <c r="AE60" i="8"/>
  <c r="AF24" i="5" s="1"/>
  <c r="AD57" i="8"/>
  <c r="AE21" i="5" s="1"/>
  <c r="AD58" i="8"/>
  <c r="AE22" i="5" s="1"/>
  <c r="AD59" i="8"/>
  <c r="AD60" i="8"/>
  <c r="AE24" i="5" s="1"/>
  <c r="AC57" i="8"/>
  <c r="AC58" i="8"/>
  <c r="AC59" i="8"/>
  <c r="AC60" i="8"/>
  <c r="AB57" i="8"/>
  <c r="AB58" i="8"/>
  <c r="AB59" i="8"/>
  <c r="AB60" i="8"/>
  <c r="AA57" i="8"/>
  <c r="AB21" i="5" s="1"/>
  <c r="AA58" i="8"/>
  <c r="AA59" i="8"/>
  <c r="AA60" i="8"/>
  <c r="Z57" i="8"/>
  <c r="Z58" i="8"/>
  <c r="AA22" i="5" s="1"/>
  <c r="Z59" i="8"/>
  <c r="Z60" i="8"/>
  <c r="AA24" i="5" s="1"/>
  <c r="Y57" i="8"/>
  <c r="Z21" i="5" s="1"/>
  <c r="Y58" i="8"/>
  <c r="Z22" i="5" s="1"/>
  <c r="Y59" i="8"/>
  <c r="Y60" i="8"/>
  <c r="Z24" i="5" s="1"/>
  <c r="C57" i="8"/>
  <c r="D21" i="5" s="1"/>
  <c r="AE56" i="8"/>
  <c r="AF20" i="5" s="1"/>
  <c r="AD56" i="8"/>
  <c r="AE20" i="5" s="1"/>
  <c r="AC56" i="8"/>
  <c r="AB56" i="8"/>
  <c r="AA56" i="8"/>
  <c r="AB20" i="5" s="1"/>
  <c r="Z56" i="8"/>
  <c r="Y56" i="8"/>
  <c r="Z20" i="5" s="1"/>
  <c r="AE55" i="8"/>
  <c r="AF19" i="5" s="1"/>
  <c r="AD55" i="8"/>
  <c r="AE19" i="5" s="1"/>
  <c r="AC55" i="8"/>
  <c r="AB55" i="8"/>
  <c r="AA55" i="8"/>
  <c r="Z55" i="8"/>
  <c r="AA19" i="5" s="1"/>
  <c r="Y55" i="8"/>
  <c r="Z19" i="5" s="1"/>
  <c r="C55" i="8"/>
  <c r="D19" i="5" s="1"/>
  <c r="C54" i="8"/>
  <c r="D18" i="5" s="1"/>
  <c r="C53" i="8"/>
  <c r="D17" i="5" s="1"/>
  <c r="AE54" i="8"/>
  <c r="AF18" i="5" s="1"/>
  <c r="AD54" i="8"/>
  <c r="AE18" i="5" s="1"/>
  <c r="AC54" i="8"/>
  <c r="AB54" i="8"/>
  <c r="AA54" i="8"/>
  <c r="Z54" i="8"/>
  <c r="AA18" i="5" s="1"/>
  <c r="Y54" i="8"/>
  <c r="Z18" i="5" s="1"/>
  <c r="AE53" i="8"/>
  <c r="AF17" i="5" s="1"/>
  <c r="AD53" i="8"/>
  <c r="AE17" i="5" s="1"/>
  <c r="AC53" i="8"/>
  <c r="AB53" i="8"/>
  <c r="AA53" i="8"/>
  <c r="Z53" i="8"/>
  <c r="AA17" i="5" s="1"/>
  <c r="Y53" i="8"/>
  <c r="Z17" i="5" s="1"/>
  <c r="AE52" i="8"/>
  <c r="AF16" i="5" s="1"/>
  <c r="AD52" i="8"/>
  <c r="AE16" i="5" s="1"/>
  <c r="AC52" i="8"/>
  <c r="AB52" i="8"/>
  <c r="AA52" i="8"/>
  <c r="Z52" i="8"/>
  <c r="AA16" i="5" s="1"/>
  <c r="Y52" i="8"/>
  <c r="Z16" i="5" s="1"/>
  <c r="C52" i="8"/>
  <c r="D16" i="5" s="1"/>
  <c r="C51" i="8"/>
  <c r="D15" i="5" s="1"/>
  <c r="AE42" i="8"/>
  <c r="AD42" i="8"/>
  <c r="AC42" i="8"/>
  <c r="AB42" i="8"/>
  <c r="AA42" i="8"/>
  <c r="Z42" i="8"/>
  <c r="AE41" i="8"/>
  <c r="AD41" i="8"/>
  <c r="AC41" i="8"/>
  <c r="AB41" i="8"/>
  <c r="AA41" i="8"/>
  <c r="Z41" i="8"/>
  <c r="AE51" i="8"/>
  <c r="AF15" i="5" s="1"/>
  <c r="AD51" i="8"/>
  <c r="AE15" i="5" s="1"/>
  <c r="AC51" i="8"/>
  <c r="AB51" i="8"/>
  <c r="AA51" i="8"/>
  <c r="Z51" i="8"/>
  <c r="AA15" i="5" s="1"/>
  <c r="Y51" i="8"/>
  <c r="Z15" i="5" s="1"/>
  <c r="Y36" i="9" l="1"/>
  <c r="AD39" i="9"/>
  <c r="Z23" i="5"/>
  <c r="AA23" i="5"/>
  <c r="AE23" i="5"/>
  <c r="AF23" i="5"/>
  <c r="D23" i="5"/>
  <c r="C41" i="11"/>
  <c r="C30" i="10"/>
  <c r="C28" i="9"/>
  <c r="AE35" i="4"/>
  <c r="AD35" i="4"/>
  <c r="AC35" i="4"/>
  <c r="AB35" i="4"/>
  <c r="AA35" i="4"/>
  <c r="Z35" i="4"/>
  <c r="AE34" i="4"/>
  <c r="AD34" i="4"/>
  <c r="AC34" i="4"/>
  <c r="AB34" i="4"/>
  <c r="AA34" i="4"/>
  <c r="Z34" i="4"/>
  <c r="AE48" i="4"/>
  <c r="AF9" i="5" s="1"/>
  <c r="AE49" i="4"/>
  <c r="AF10" i="5" s="1"/>
  <c r="AE50" i="4"/>
  <c r="AF11" i="5" s="1"/>
  <c r="AE51" i="4"/>
  <c r="AF12" i="5" s="1"/>
  <c r="AE52" i="4"/>
  <c r="AF13" i="5" s="1"/>
  <c r="AD48" i="4"/>
  <c r="AE9" i="5" s="1"/>
  <c r="AD49" i="4"/>
  <c r="AE10" i="5" s="1"/>
  <c r="AD50" i="4"/>
  <c r="AE11" i="5" s="1"/>
  <c r="AD51" i="4"/>
  <c r="AE12" i="5" s="1"/>
  <c r="AD52" i="4"/>
  <c r="AE13" i="5" s="1"/>
  <c r="AC48" i="4"/>
  <c r="AC49" i="4"/>
  <c r="AC50" i="4"/>
  <c r="AC51" i="4"/>
  <c r="AC52" i="4"/>
  <c r="AB48" i="4"/>
  <c r="AB49" i="4"/>
  <c r="AB50" i="4"/>
  <c r="AB51" i="4"/>
  <c r="AB52" i="4"/>
  <c r="AA48" i="4"/>
  <c r="AA49" i="4"/>
  <c r="AA50" i="4"/>
  <c r="AA51" i="4"/>
  <c r="AA52" i="4"/>
  <c r="Z48" i="4"/>
  <c r="AA9" i="5" s="1"/>
  <c r="Z49" i="4"/>
  <c r="AA10" i="5" s="1"/>
  <c r="Z50" i="4"/>
  <c r="AA11" i="5" s="1"/>
  <c r="Z51" i="4"/>
  <c r="AA12" i="5" s="1"/>
  <c r="Z52" i="4"/>
  <c r="AA13" i="5" s="1"/>
  <c r="AE47" i="4"/>
  <c r="AD47" i="4"/>
  <c r="AC47" i="4"/>
  <c r="AB47" i="4"/>
  <c r="AA47" i="4"/>
  <c r="Z47" i="4"/>
  <c r="Y48" i="4"/>
  <c r="Z9" i="5" s="1"/>
  <c r="Y49" i="4"/>
  <c r="Z10" i="5" s="1"/>
  <c r="Y50" i="4"/>
  <c r="Z11" i="5" s="1"/>
  <c r="Y51" i="4"/>
  <c r="Z12" i="5" s="1"/>
  <c r="Y52" i="4"/>
  <c r="Z13" i="5" s="1"/>
  <c r="Y47" i="4"/>
  <c r="C47" i="4"/>
  <c r="AB40" i="4"/>
  <c r="AB41" i="4"/>
  <c r="AD40" i="4"/>
  <c r="AD41" i="4"/>
  <c r="AD42" i="4"/>
  <c r="AD39" i="4"/>
  <c r="AE40" i="4"/>
  <c r="AE41" i="4"/>
  <c r="AE42" i="4"/>
  <c r="AE39" i="4"/>
  <c r="AC11" i="4"/>
  <c r="AB11" i="4"/>
  <c r="AA11" i="4"/>
  <c r="Z11" i="4"/>
  <c r="AD16" i="4"/>
  <c r="AD18" i="4"/>
  <c r="AD15" i="4"/>
  <c r="AD12" i="4"/>
  <c r="AD11" i="4"/>
  <c r="AD28" i="4"/>
  <c r="AD31" i="4"/>
  <c r="AD32" i="4"/>
  <c r="AD33" i="4"/>
  <c r="AD36" i="4"/>
  <c r="AC40" i="4"/>
  <c r="AC41" i="4"/>
  <c r="AC42" i="4"/>
  <c r="Z40" i="4"/>
  <c r="Z41" i="4"/>
  <c r="Z42" i="4"/>
  <c r="AC39" i="4"/>
  <c r="Z39" i="4"/>
  <c r="AB39" i="4"/>
  <c r="AE32" i="4"/>
  <c r="AC32" i="4"/>
  <c r="AB32" i="4"/>
  <c r="AA32" i="4"/>
  <c r="Z32" i="4"/>
  <c r="AE36" i="4"/>
  <c r="AC36" i="4"/>
  <c r="AB36" i="4"/>
  <c r="AA36" i="4"/>
  <c r="Z36" i="4"/>
  <c r="AE33" i="4"/>
  <c r="AC33" i="4"/>
  <c r="AB33" i="4"/>
  <c r="AA33" i="4"/>
  <c r="Z33" i="4"/>
  <c r="AC43" i="4" l="1"/>
  <c r="Z43" i="4"/>
  <c r="AA43" i="4"/>
  <c r="X42" i="11"/>
  <c r="W42" i="11"/>
  <c r="V42" i="11"/>
  <c r="U42" i="11"/>
  <c r="T42" i="11"/>
  <c r="S42" i="11"/>
  <c r="R42" i="11"/>
  <c r="Q42" i="11"/>
  <c r="P42" i="11"/>
  <c r="O42" i="11"/>
  <c r="N42" i="11"/>
  <c r="M42" i="11"/>
  <c r="L42" i="11"/>
  <c r="K42" i="11"/>
  <c r="J42" i="11"/>
  <c r="I42" i="11"/>
  <c r="H42" i="11"/>
  <c r="G42" i="11"/>
  <c r="AE41" i="11"/>
  <c r="AE42" i="11" s="1"/>
  <c r="AD41" i="11"/>
  <c r="AD42" i="11" s="1"/>
  <c r="AC41" i="11"/>
  <c r="AC42" i="11" s="1"/>
  <c r="AB41" i="11"/>
  <c r="AB42" i="11" s="1"/>
  <c r="AA41" i="11"/>
  <c r="AA42" i="11" s="1"/>
  <c r="Z41" i="11"/>
  <c r="AE30" i="10"/>
  <c r="AE31" i="10" s="1"/>
  <c r="AD30" i="10"/>
  <c r="AD31" i="10" s="1"/>
  <c r="AC30" i="10"/>
  <c r="AC31" i="10" s="1"/>
  <c r="AB30" i="10"/>
  <c r="AB31" i="10" s="1"/>
  <c r="AA30" i="10"/>
  <c r="AA31" i="10" s="1"/>
  <c r="Z30" i="10"/>
  <c r="AE28" i="9"/>
  <c r="AD28" i="9"/>
  <c r="AC28" i="9"/>
  <c r="AB28" i="9"/>
  <c r="AA28" i="9"/>
  <c r="Z28" i="9"/>
  <c r="Y28" i="9"/>
  <c r="AE37" i="8"/>
  <c r="AD37" i="8"/>
  <c r="AC37" i="8"/>
  <c r="AB37" i="8"/>
  <c r="AA37" i="8"/>
  <c r="Z37" i="8"/>
  <c r="AB35" i="8"/>
  <c r="AB36" i="8"/>
  <c r="AC35" i="8"/>
  <c r="AC36" i="8"/>
  <c r="AE35" i="8"/>
  <c r="AE36" i="8"/>
  <c r="AD35" i="8"/>
  <c r="AD36" i="8"/>
  <c r="AA36" i="8"/>
  <c r="Z36" i="8"/>
  <c r="AA35" i="8"/>
  <c r="Z35" i="8"/>
  <c r="AE22" i="8"/>
  <c r="AE24" i="8" s="1"/>
  <c r="AD22" i="8"/>
  <c r="AD24" i="8" s="1"/>
  <c r="AD47" i="8" s="1"/>
  <c r="AC22" i="8"/>
  <c r="AC24" i="8" s="1"/>
  <c r="AC47" i="8" s="1"/>
  <c r="AB22" i="8"/>
  <c r="AB24" i="8" s="1"/>
  <c r="AB47" i="8" s="1"/>
  <c r="AA22" i="8"/>
  <c r="AA24" i="8" s="1"/>
  <c r="AA47" i="8" s="1"/>
  <c r="Z22" i="8"/>
  <c r="Z24" i="8" s="1"/>
  <c r="Z47" i="8" s="1"/>
  <c r="Y24" i="8"/>
  <c r="H29" i="8"/>
  <c r="I29" i="8"/>
  <c r="J29" i="8"/>
  <c r="K29" i="8"/>
  <c r="L29" i="8"/>
  <c r="M29" i="8"/>
  <c r="N29" i="8"/>
  <c r="O29" i="8"/>
  <c r="P29" i="8"/>
  <c r="Q29" i="8"/>
  <c r="R29" i="8"/>
  <c r="S29" i="8"/>
  <c r="T29" i="8"/>
  <c r="U29" i="8"/>
  <c r="V29" i="8"/>
  <c r="W29" i="8"/>
  <c r="X29" i="8"/>
  <c r="G29" i="8"/>
  <c r="AE27" i="8"/>
  <c r="AD27" i="8"/>
  <c r="AC27" i="8"/>
  <c r="AB27" i="8"/>
  <c r="AA27" i="8"/>
  <c r="Z27" i="8"/>
  <c r="AE28" i="8"/>
  <c r="AD28" i="8"/>
  <c r="AC28" i="8"/>
  <c r="AB28" i="8"/>
  <c r="AA28" i="8"/>
  <c r="Z28" i="8"/>
  <c r="AE26" i="8"/>
  <c r="AD26" i="8"/>
  <c r="AC26" i="8"/>
  <c r="AB26" i="8"/>
  <c r="AA26" i="8"/>
  <c r="Z26" i="8"/>
  <c r="AE22" i="9"/>
  <c r="AD22" i="9"/>
  <c r="AC22" i="9"/>
  <c r="AB22" i="9"/>
  <c r="AA22" i="9"/>
  <c r="Z22" i="9"/>
  <c r="AE21" i="9"/>
  <c r="AD21" i="9"/>
  <c r="AC21" i="9"/>
  <c r="AB21" i="9"/>
  <c r="AA21" i="9"/>
  <c r="Z21" i="9"/>
  <c r="Y30" i="10" l="1"/>
  <c r="Y31" i="10" s="1"/>
  <c r="Z31" i="10"/>
  <c r="Z42" i="11"/>
  <c r="Y41" i="11"/>
  <c r="Y42" i="11" s="1"/>
  <c r="AD29" i="8"/>
  <c r="AE29" i="8"/>
  <c r="AC29" i="8"/>
  <c r="Y29" i="8"/>
  <c r="Z29" i="8"/>
  <c r="AA29" i="8"/>
  <c r="AB29" i="8"/>
  <c r="AE31" i="4" l="1"/>
  <c r="AC31" i="4"/>
  <c r="AB31" i="4"/>
  <c r="AA31" i="4"/>
  <c r="Z31" i="4"/>
  <c r="C38" i="11"/>
  <c r="C37" i="11"/>
  <c r="C34" i="11"/>
  <c r="C33" i="11"/>
  <c r="C23" i="11"/>
  <c r="C20" i="11"/>
  <c r="C21" i="10"/>
  <c r="C26" i="10"/>
  <c r="C28" i="4"/>
  <c r="C22" i="10" l="1"/>
  <c r="C12" i="10"/>
  <c r="C13" i="10"/>
  <c r="C14" i="10"/>
  <c r="C15" i="10"/>
  <c r="C17" i="10"/>
  <c r="C11" i="10"/>
  <c r="C31" i="9"/>
  <c r="C25" i="9"/>
  <c r="C32" i="8"/>
  <c r="C31" i="8"/>
  <c r="AC33" i="11" l="1"/>
  <c r="AB34" i="11"/>
  <c r="AB33" i="11"/>
  <c r="AA34" i="11"/>
  <c r="AA33" i="11"/>
  <c r="Z34" i="11"/>
  <c r="Z33" i="11"/>
  <c r="AC21" i="11"/>
  <c r="AC22" i="11"/>
  <c r="AC23" i="11"/>
  <c r="AC24" i="11"/>
  <c r="AC25" i="11"/>
  <c r="AC26" i="11"/>
  <c r="AC27" i="11"/>
  <c r="AC28" i="11"/>
  <c r="AC29" i="11"/>
  <c r="AC30" i="11"/>
  <c r="AC20" i="11"/>
  <c r="AC17" i="11"/>
  <c r="AC16" i="11"/>
  <c r="AB21" i="11"/>
  <c r="AB22" i="11"/>
  <c r="AB23" i="11"/>
  <c r="AB24" i="11"/>
  <c r="AB25" i="11"/>
  <c r="AB26" i="11"/>
  <c r="AB28" i="11"/>
  <c r="AB29" i="11"/>
  <c r="AB30" i="11"/>
  <c r="AB20" i="11"/>
  <c r="AB17" i="11"/>
  <c r="AB16" i="11"/>
  <c r="AB18" i="11" s="1"/>
  <c r="AA21" i="11"/>
  <c r="AA22" i="11"/>
  <c r="AA23" i="11"/>
  <c r="AA24" i="11"/>
  <c r="AA25" i="11"/>
  <c r="AA26" i="11"/>
  <c r="AA27" i="11"/>
  <c r="AA28" i="11"/>
  <c r="AA29" i="11"/>
  <c r="AA30" i="11"/>
  <c r="AA20" i="11"/>
  <c r="AA17" i="11"/>
  <c r="AA16" i="11"/>
  <c r="Z21" i="11"/>
  <c r="Z22" i="11"/>
  <c r="Z23" i="11"/>
  <c r="Z24" i="11"/>
  <c r="Z25" i="11"/>
  <c r="Z26" i="11"/>
  <c r="Z27" i="11"/>
  <c r="Z28" i="11"/>
  <c r="Z29" i="11"/>
  <c r="Z30" i="11"/>
  <c r="Z20" i="11"/>
  <c r="Z17" i="11"/>
  <c r="Z16" i="11"/>
  <c r="AE44" i="11"/>
  <c r="AE45" i="11"/>
  <c r="AE46" i="11"/>
  <c r="AC44" i="11"/>
  <c r="AC45" i="11"/>
  <c r="AC46" i="11"/>
  <c r="AB44" i="11"/>
  <c r="AB45" i="11"/>
  <c r="AB46" i="11"/>
  <c r="AA44" i="11"/>
  <c r="AA45" i="11"/>
  <c r="AA46" i="11"/>
  <c r="Z44" i="11"/>
  <c r="Z45" i="11"/>
  <c r="Z46" i="11"/>
  <c r="AC38" i="11"/>
  <c r="AB38" i="11"/>
  <c r="Z38" i="11"/>
  <c r="AA38" i="11"/>
  <c r="AC37" i="11"/>
  <c r="AB37" i="11"/>
  <c r="AA37" i="11"/>
  <c r="Z37" i="11"/>
  <c r="AC34" i="11"/>
  <c r="Z25" i="9"/>
  <c r="Z26" i="9" s="1"/>
  <c r="AB20" i="9"/>
  <c r="AA20" i="9"/>
  <c r="AA23" i="9" s="1"/>
  <c r="Z20" i="9"/>
  <c r="Z23" i="9" s="1"/>
  <c r="AA14" i="9"/>
  <c r="AA11" i="9"/>
  <c r="Z11" i="9"/>
  <c r="AA34" i="9"/>
  <c r="Z34" i="9"/>
  <c r="AD34" i="10"/>
  <c r="AD35" i="10"/>
  <c r="AD36" i="10"/>
  <c r="AD37" i="10"/>
  <c r="AD38" i="10"/>
  <c r="AD33" i="10"/>
  <c r="AA34" i="10"/>
  <c r="AA35" i="10"/>
  <c r="AA36" i="10"/>
  <c r="AA37" i="10"/>
  <c r="AA38" i="10"/>
  <c r="AA33" i="10"/>
  <c r="AA22" i="10"/>
  <c r="AA23" i="10"/>
  <c r="AB12" i="10"/>
  <c r="H39" i="14" s="1"/>
  <c r="AA12" i="10"/>
  <c r="G39" i="14" s="1"/>
  <c r="Z12" i="10"/>
  <c r="AB11" i="10"/>
  <c r="AA11" i="10"/>
  <c r="Z11" i="10"/>
  <c r="AA13" i="10"/>
  <c r="AA14" i="10"/>
  <c r="G43" i="14" s="1"/>
  <c r="AA15" i="10"/>
  <c r="AA16" i="10"/>
  <c r="AA17" i="10"/>
  <c r="AA18" i="10"/>
  <c r="G50" i="14" s="1"/>
  <c r="AB15" i="10"/>
  <c r="Z15" i="10"/>
  <c r="AB14" i="10"/>
  <c r="H43" i="14" s="1"/>
  <c r="Z14" i="10"/>
  <c r="AE34" i="10"/>
  <c r="AE35" i="10"/>
  <c r="AE36" i="10"/>
  <c r="AE37" i="10"/>
  <c r="AE38" i="10"/>
  <c r="Z34" i="10"/>
  <c r="Z35" i="10"/>
  <c r="Z36" i="10"/>
  <c r="Z37" i="10"/>
  <c r="Z38" i="10"/>
  <c r="AD23" i="10"/>
  <c r="AC12" i="10"/>
  <c r="I39" i="14" s="1"/>
  <c r="I51" i="14" s="1"/>
  <c r="AC13" i="10"/>
  <c r="AC14" i="10"/>
  <c r="AC15" i="10"/>
  <c r="AC16" i="10"/>
  <c r="AC17" i="10"/>
  <c r="AC18" i="10"/>
  <c r="AB13" i="10"/>
  <c r="AB16" i="10"/>
  <c r="AB17" i="10"/>
  <c r="AB18" i="10"/>
  <c r="Z13" i="10"/>
  <c r="Z16" i="10"/>
  <c r="Z17" i="10"/>
  <c r="AC11" i="10"/>
  <c r="Z33" i="10"/>
  <c r="AA27" i="10"/>
  <c r="AA26" i="10"/>
  <c r="AB27" i="10"/>
  <c r="AB26" i="10"/>
  <c r="AB22" i="10"/>
  <c r="AB23" i="10"/>
  <c r="Z22" i="10"/>
  <c r="Z23" i="10"/>
  <c r="Z18" i="10"/>
  <c r="Y20" i="11" l="1"/>
  <c r="Y27" i="11"/>
  <c r="Y23" i="11"/>
  <c r="Y13" i="10"/>
  <c r="Y38" i="11"/>
  <c r="Y45" i="11"/>
  <c r="AC18" i="11"/>
  <c r="Y30" i="11"/>
  <c r="Y26" i="11"/>
  <c r="Y22" i="11"/>
  <c r="Z24" i="10"/>
  <c r="Y38" i="10"/>
  <c r="Y34" i="10"/>
  <c r="AB28" i="10"/>
  <c r="Y35" i="10"/>
  <c r="AA24" i="10"/>
  <c r="Y23" i="10"/>
  <c r="AA28" i="10"/>
  <c r="Y26" i="10"/>
  <c r="Y27" i="10"/>
  <c r="Y37" i="10"/>
  <c r="G51" i="14"/>
  <c r="Z39" i="10"/>
  <c r="Y33" i="10"/>
  <c r="Y15" i="10"/>
  <c r="Y11" i="10"/>
  <c r="Z19" i="10"/>
  <c r="AA39" i="10"/>
  <c r="Y17" i="10"/>
  <c r="AA19" i="10"/>
  <c r="H51" i="14"/>
  <c r="Y12" i="10"/>
  <c r="F39" i="14"/>
  <c r="AC19" i="10"/>
  <c r="Y18" i="10"/>
  <c r="F50" i="14"/>
  <c r="E50" i="14" s="1"/>
  <c r="AB24" i="10"/>
  <c r="Y22" i="10"/>
  <c r="Y16" i="10"/>
  <c r="Y36" i="10"/>
  <c r="Y14" i="10"/>
  <c r="F43" i="14"/>
  <c r="E43" i="14" s="1"/>
  <c r="AB19" i="10"/>
  <c r="AD39" i="10"/>
  <c r="G15" i="14"/>
  <c r="AA12" i="9"/>
  <c r="Z12" i="9"/>
  <c r="Y44" i="11"/>
  <c r="Y33" i="11"/>
  <c r="Y16" i="11"/>
  <c r="Z18" i="11"/>
  <c r="Y29" i="11"/>
  <c r="Y25" i="11"/>
  <c r="Y21" i="11"/>
  <c r="Y34" i="11"/>
  <c r="Y37" i="11"/>
  <c r="Y46" i="11"/>
  <c r="Y17" i="11"/>
  <c r="Y28" i="11"/>
  <c r="Y24" i="11"/>
  <c r="AA18" i="11"/>
  <c r="Y20" i="9"/>
  <c r="Y23" i="9" s="1"/>
  <c r="AB23" i="9"/>
  <c r="Z48" i="11"/>
  <c r="AD48" i="11"/>
  <c r="AE48" i="11"/>
  <c r="AB48" i="11"/>
  <c r="AA48" i="11"/>
  <c r="AC48" i="11"/>
  <c r="Z35" i="11"/>
  <c r="AA39" i="9"/>
  <c r="AB31" i="11"/>
  <c r="AC31" i="11"/>
  <c r="AA31" i="11"/>
  <c r="Y39" i="9"/>
  <c r="Z39" i="9"/>
  <c r="Z31" i="11"/>
  <c r="AE29" i="11"/>
  <c r="AE45" i="8"/>
  <c r="AD45" i="8"/>
  <c r="AC45" i="8"/>
  <c r="AB45" i="8"/>
  <c r="AA45" i="8"/>
  <c r="Z45" i="8"/>
  <c r="AE44" i="8"/>
  <c r="AD44" i="8"/>
  <c r="AC44" i="8"/>
  <c r="AB44" i="8"/>
  <c r="AA44" i="8"/>
  <c r="Z44" i="8"/>
  <c r="AE43" i="8"/>
  <c r="AD43" i="8"/>
  <c r="AC43" i="8"/>
  <c r="AB43" i="8"/>
  <c r="AA43" i="8"/>
  <c r="Z43" i="8"/>
  <c r="AE40" i="8"/>
  <c r="AD40" i="8"/>
  <c r="AC40" i="8"/>
  <c r="AB40" i="8"/>
  <c r="AA40" i="8"/>
  <c r="Z40" i="8"/>
  <c r="I46" i="8"/>
  <c r="J46" i="8"/>
  <c r="K46" i="8"/>
  <c r="L46" i="8"/>
  <c r="M46" i="8"/>
  <c r="N46" i="8"/>
  <c r="O46" i="8"/>
  <c r="P46" i="8"/>
  <c r="Q46" i="8"/>
  <c r="R46" i="8"/>
  <c r="S46" i="8"/>
  <c r="T46" i="8"/>
  <c r="U46" i="8"/>
  <c r="V46" i="8"/>
  <c r="W46" i="8"/>
  <c r="X46" i="8"/>
  <c r="AD17" i="11"/>
  <c r="AD18" i="11" s="1"/>
  <c r="AC39" i="11"/>
  <c r="Z39" i="11"/>
  <c r="AC35" i="11"/>
  <c r="AA35" i="11"/>
  <c r="AC34" i="9"/>
  <c r="AB34" i="9"/>
  <c r="AC20" i="9"/>
  <c r="AC15" i="9"/>
  <c r="AB15" i="9"/>
  <c r="AA15" i="9"/>
  <c r="AA16" i="9" s="1"/>
  <c r="Z15" i="9"/>
  <c r="Y15" i="9" s="1"/>
  <c r="AC31" i="9"/>
  <c r="AC32" i="9" s="1"/>
  <c r="AB31" i="9"/>
  <c r="AB32" i="9" s="1"/>
  <c r="AA31" i="9"/>
  <c r="AA32" i="9" s="1"/>
  <c r="Z31" i="9"/>
  <c r="Z32" i="9" s="1"/>
  <c r="AA29" i="9"/>
  <c r="Z29" i="9"/>
  <c r="AC25" i="9"/>
  <c r="AC26" i="9" s="1"/>
  <c r="AB25" i="9"/>
  <c r="AB26" i="9" s="1"/>
  <c r="AA25" i="9"/>
  <c r="AA26" i="9" s="1"/>
  <c r="AC14" i="9"/>
  <c r="AC16" i="9" s="1"/>
  <c r="AB14" i="9"/>
  <c r="Z14" i="9"/>
  <c r="AC11" i="9"/>
  <c r="AB11" i="9"/>
  <c r="AC32" i="8"/>
  <c r="AB32" i="8"/>
  <c r="AA32" i="8"/>
  <c r="Z32" i="8"/>
  <c r="AC17" i="8"/>
  <c r="AC18" i="8"/>
  <c r="AC19" i="8"/>
  <c r="AB17" i="8"/>
  <c r="AB18" i="8"/>
  <c r="AB19" i="8"/>
  <c r="AA17" i="8"/>
  <c r="AA18" i="8"/>
  <c r="AA19" i="8"/>
  <c r="Z17" i="8"/>
  <c r="Z18" i="8"/>
  <c r="Z19" i="8"/>
  <c r="AC31" i="8"/>
  <c r="AB31" i="8"/>
  <c r="AA31" i="8"/>
  <c r="Z31" i="8"/>
  <c r="AC16" i="8"/>
  <c r="AB16" i="8"/>
  <c r="AA16" i="8"/>
  <c r="Z16" i="8"/>
  <c r="AC12" i="8"/>
  <c r="AC13" i="8"/>
  <c r="AB12" i="8"/>
  <c r="AB13" i="8"/>
  <c r="AA12" i="8"/>
  <c r="AA13" i="8"/>
  <c r="Z12" i="8"/>
  <c r="Z13" i="8"/>
  <c r="AC11" i="8"/>
  <c r="AB11" i="8"/>
  <c r="AA11" i="8"/>
  <c r="Z11" i="8"/>
  <c r="Z23" i="4"/>
  <c r="Z24" i="4"/>
  <c r="Z16" i="4"/>
  <c r="Z17" i="4"/>
  <c r="Z18" i="4"/>
  <c r="Z22" i="4"/>
  <c r="AD22" i="4"/>
  <c r="AD21" i="4"/>
  <c r="AB28" i="4"/>
  <c r="AB21" i="4"/>
  <c r="AB15" i="4"/>
  <c r="AA28" i="4"/>
  <c r="AA21" i="4"/>
  <c r="AA15" i="4"/>
  <c r="Z28" i="4"/>
  <c r="Z21" i="4"/>
  <c r="Z15" i="4"/>
  <c r="AB12" i="4"/>
  <c r="AA12" i="4"/>
  <c r="Z12" i="4"/>
  <c r="AD32" i="8"/>
  <c r="AD31" i="8"/>
  <c r="AD33" i="8" s="1"/>
  <c r="AE32" i="8"/>
  <c r="AE31" i="8"/>
  <c r="AE33" i="8" s="1"/>
  <c r="AE17" i="8"/>
  <c r="AE18" i="8"/>
  <c r="AE19" i="8"/>
  <c r="AD17" i="8"/>
  <c r="AD18" i="8"/>
  <c r="AD19" i="8"/>
  <c r="AE16" i="8"/>
  <c r="AE20" i="8" s="1"/>
  <c r="AD16" i="8"/>
  <c r="AE12" i="8"/>
  <c r="AE13" i="8"/>
  <c r="AD12" i="8"/>
  <c r="AD13" i="8"/>
  <c r="AE11" i="8"/>
  <c r="AE14" i="8" s="1"/>
  <c r="AD11" i="8"/>
  <c r="AD14" i="8" s="1"/>
  <c r="G39" i="9"/>
  <c r="H39" i="9"/>
  <c r="I39" i="9"/>
  <c r="J39" i="9"/>
  <c r="K39" i="9"/>
  <c r="L39" i="9"/>
  <c r="M39" i="9"/>
  <c r="N39" i="9"/>
  <c r="O39" i="9"/>
  <c r="P39" i="9"/>
  <c r="Q39" i="9"/>
  <c r="R39" i="9"/>
  <c r="S39" i="9"/>
  <c r="T39" i="9"/>
  <c r="U39" i="9"/>
  <c r="V39" i="9"/>
  <c r="W39" i="9"/>
  <c r="X39" i="9"/>
  <c r="AE34" i="9"/>
  <c r="AD34" i="9"/>
  <c r="AE31" i="9"/>
  <c r="AE32" i="9" s="1"/>
  <c r="AD31" i="9"/>
  <c r="AD32" i="9" s="1"/>
  <c r="Y32" i="9"/>
  <c r="AE29" i="9"/>
  <c r="Y29" i="9"/>
  <c r="AE25" i="9"/>
  <c r="AD25" i="9"/>
  <c r="Y26" i="9"/>
  <c r="AE20" i="9"/>
  <c r="AE23" i="9" s="1"/>
  <c r="AE15" i="9"/>
  <c r="AE14" i="9"/>
  <c r="AD15" i="9"/>
  <c r="AD14" i="9"/>
  <c r="AE11" i="9"/>
  <c r="AD11" i="9"/>
  <c r="AE38" i="11"/>
  <c r="AE37" i="11"/>
  <c r="AE34" i="11"/>
  <c r="AE33" i="11"/>
  <c r="AE21" i="11"/>
  <c r="AE22" i="11"/>
  <c r="AE23" i="11"/>
  <c r="AE24" i="11"/>
  <c r="AE25" i="11"/>
  <c r="AE26" i="11"/>
  <c r="AE27" i="11"/>
  <c r="AE28" i="11"/>
  <c r="AE30" i="11"/>
  <c r="AE20" i="11"/>
  <c r="AE16" i="11"/>
  <c r="AE17" i="11"/>
  <c r="AE33" i="10"/>
  <c r="AE39" i="10" s="1"/>
  <c r="AE27" i="10"/>
  <c r="AE26" i="10"/>
  <c r="AD27" i="10"/>
  <c r="AD26" i="10"/>
  <c r="AE22" i="10"/>
  <c r="AE23" i="10"/>
  <c r="AE21" i="10"/>
  <c r="AD22" i="10"/>
  <c r="AD24" i="10" s="1"/>
  <c r="AE12" i="10"/>
  <c r="K39" i="14" s="1"/>
  <c r="AE13" i="10"/>
  <c r="AE14" i="10"/>
  <c r="AE15" i="10"/>
  <c r="AE16" i="10"/>
  <c r="AE17" i="10"/>
  <c r="AE18" i="10"/>
  <c r="AE11" i="10"/>
  <c r="G35" i="11"/>
  <c r="G39" i="11"/>
  <c r="X39" i="11"/>
  <c r="W39" i="11"/>
  <c r="V39" i="11"/>
  <c r="U39" i="11"/>
  <c r="T39" i="11"/>
  <c r="S39" i="11"/>
  <c r="R39" i="11"/>
  <c r="Q39" i="11"/>
  <c r="P39" i="11"/>
  <c r="O39" i="11"/>
  <c r="N39" i="11"/>
  <c r="M39" i="11"/>
  <c r="L39" i="11"/>
  <c r="K39" i="11"/>
  <c r="J39" i="11"/>
  <c r="I39" i="11"/>
  <c r="H39" i="11"/>
  <c r="X35" i="11"/>
  <c r="W35" i="11"/>
  <c r="V35" i="11"/>
  <c r="U35" i="11"/>
  <c r="T35" i="11"/>
  <c r="S35" i="11"/>
  <c r="R35" i="11"/>
  <c r="Q35" i="11"/>
  <c r="P35" i="11"/>
  <c r="O35" i="11"/>
  <c r="N35" i="11"/>
  <c r="M35" i="11"/>
  <c r="L35" i="11"/>
  <c r="K35" i="11"/>
  <c r="J35" i="11"/>
  <c r="I35" i="11"/>
  <c r="H35" i="11"/>
  <c r="X31" i="11"/>
  <c r="W31" i="11"/>
  <c r="V31" i="11"/>
  <c r="U31" i="11"/>
  <c r="T31" i="11"/>
  <c r="S31" i="11"/>
  <c r="R31" i="11"/>
  <c r="Q31" i="11"/>
  <c r="P31" i="11"/>
  <c r="O31" i="11"/>
  <c r="N31" i="11"/>
  <c r="M31" i="11"/>
  <c r="L31" i="11"/>
  <c r="K31" i="11"/>
  <c r="J31" i="11"/>
  <c r="I31" i="11"/>
  <c r="H31" i="11"/>
  <c r="C27" i="10"/>
  <c r="T40" i="10"/>
  <c r="X32" i="9"/>
  <c r="W32" i="9"/>
  <c r="V32" i="9"/>
  <c r="U32" i="9"/>
  <c r="T32" i="9"/>
  <c r="S32" i="9"/>
  <c r="R32" i="9"/>
  <c r="Q32" i="9"/>
  <c r="P32" i="9"/>
  <c r="O32" i="9"/>
  <c r="N32" i="9"/>
  <c r="M32" i="9"/>
  <c r="L32" i="9"/>
  <c r="K32" i="9"/>
  <c r="J32" i="9"/>
  <c r="I32" i="9"/>
  <c r="H32" i="9"/>
  <c r="G32" i="9"/>
  <c r="X29" i="9"/>
  <c r="W29" i="9"/>
  <c r="V29" i="9"/>
  <c r="U29" i="9"/>
  <c r="T29" i="9"/>
  <c r="S29" i="9"/>
  <c r="R29" i="9"/>
  <c r="Q29" i="9"/>
  <c r="P29" i="9"/>
  <c r="O29" i="9"/>
  <c r="N29" i="9"/>
  <c r="M29" i="9"/>
  <c r="L29" i="9"/>
  <c r="K29" i="9"/>
  <c r="J29" i="9"/>
  <c r="I29" i="9"/>
  <c r="H29" i="9"/>
  <c r="G29" i="9"/>
  <c r="X26" i="9"/>
  <c r="W26" i="9"/>
  <c r="V26" i="9"/>
  <c r="U26" i="9"/>
  <c r="T26" i="9"/>
  <c r="S26" i="9"/>
  <c r="R26" i="9"/>
  <c r="X33" i="8"/>
  <c r="W33" i="8"/>
  <c r="V33" i="8"/>
  <c r="U33" i="8"/>
  <c r="T33" i="8"/>
  <c r="S33" i="8"/>
  <c r="R33" i="8"/>
  <c r="Q33" i="8"/>
  <c r="P33" i="8"/>
  <c r="O33" i="8"/>
  <c r="N33" i="8"/>
  <c r="M33" i="8"/>
  <c r="L33" i="8"/>
  <c r="K33" i="8"/>
  <c r="J33" i="8"/>
  <c r="I33" i="8"/>
  <c r="H33" i="8"/>
  <c r="G33" i="8"/>
  <c r="X20" i="8"/>
  <c r="W20" i="8"/>
  <c r="V20" i="8"/>
  <c r="U20" i="8"/>
  <c r="T20" i="8"/>
  <c r="S20" i="8"/>
  <c r="R20" i="8"/>
  <c r="Q20" i="8"/>
  <c r="P20" i="8"/>
  <c r="O20" i="8"/>
  <c r="N20" i="8"/>
  <c r="M20" i="8"/>
  <c r="L20" i="8"/>
  <c r="K20" i="8"/>
  <c r="J20" i="8"/>
  <c r="I20" i="8"/>
  <c r="H20" i="8"/>
  <c r="G20" i="8"/>
  <c r="X14" i="8"/>
  <c r="W14" i="8"/>
  <c r="V14" i="8"/>
  <c r="U14" i="8"/>
  <c r="T14" i="8"/>
  <c r="S14" i="8"/>
  <c r="R14" i="8"/>
  <c r="R47" i="8" s="1"/>
  <c r="Q14" i="8"/>
  <c r="Q47" i="8" s="1"/>
  <c r="P14" i="8"/>
  <c r="O14" i="8"/>
  <c r="N14" i="8"/>
  <c r="M14" i="8"/>
  <c r="L14" i="8"/>
  <c r="K14" i="8"/>
  <c r="J14" i="8"/>
  <c r="J47" i="8" s="1"/>
  <c r="I14" i="8"/>
  <c r="I47" i="8" s="1"/>
  <c r="H14" i="8"/>
  <c r="G14" i="8"/>
  <c r="AE16" i="9" l="1"/>
  <c r="AB16" i="9"/>
  <c r="Y14" i="9"/>
  <c r="Y16" i="9" s="1"/>
  <c r="Z16" i="9"/>
  <c r="AD16" i="9"/>
  <c r="K15" i="14"/>
  <c r="K19" i="14" s="1"/>
  <c r="AE12" i="9"/>
  <c r="AB12" i="9"/>
  <c r="H15" i="14"/>
  <c r="H19" i="14" s="1"/>
  <c r="AC12" i="9"/>
  <c r="I15" i="14"/>
  <c r="I19" i="14" s="1"/>
  <c r="I130" i="14" s="1"/>
  <c r="Y12" i="9"/>
  <c r="H130" i="14"/>
  <c r="H49" i="11"/>
  <c r="L49" i="11"/>
  <c r="P49" i="11"/>
  <c r="T49" i="11"/>
  <c r="X49" i="11"/>
  <c r="AE39" i="11"/>
  <c r="Y24" i="10"/>
  <c r="AD28" i="10"/>
  <c r="AE28" i="10"/>
  <c r="Y39" i="10"/>
  <c r="Y48" i="11"/>
  <c r="K49" i="11"/>
  <c r="O49" i="11"/>
  <c r="S49" i="11"/>
  <c r="W49" i="11"/>
  <c r="AC49" i="11"/>
  <c r="Y18" i="11"/>
  <c r="AE24" i="10"/>
  <c r="Y28" i="10"/>
  <c r="AE19" i="10"/>
  <c r="E39" i="14"/>
  <c r="E51" i="14" s="1"/>
  <c r="F51" i="14"/>
  <c r="F130" i="14" s="1"/>
  <c r="Y19" i="10"/>
  <c r="E15" i="14"/>
  <c r="E19" i="14" s="1"/>
  <c r="G19" i="14"/>
  <c r="G130" i="14" s="1"/>
  <c r="J15" i="14"/>
  <c r="J19" i="14" s="1"/>
  <c r="J130" i="14" s="1"/>
  <c r="AD12" i="9"/>
  <c r="K41" i="14"/>
  <c r="AE18" i="11"/>
  <c r="G49" i="11"/>
  <c r="I49" i="11"/>
  <c r="M49" i="11"/>
  <c r="Q49" i="11"/>
  <c r="U49" i="11"/>
  <c r="J49" i="11"/>
  <c r="N49" i="11"/>
  <c r="R49" i="11"/>
  <c r="V49" i="11"/>
  <c r="Z49" i="11"/>
  <c r="G47" i="8"/>
  <c r="O47" i="8"/>
  <c r="S47" i="8"/>
  <c r="AD20" i="8"/>
  <c r="H47" i="8"/>
  <c r="P47" i="8"/>
  <c r="X47" i="8"/>
  <c r="AD46" i="8"/>
  <c r="AE46" i="8"/>
  <c r="AE47" i="8" s="1"/>
  <c r="Y35" i="11"/>
  <c r="X40" i="10"/>
  <c r="AA33" i="8"/>
  <c r="AB33" i="8"/>
  <c r="AC33" i="8"/>
  <c r="Z33" i="8"/>
  <c r="O40" i="9"/>
  <c r="X40" i="9"/>
  <c r="U40" i="10"/>
  <c r="R40" i="10"/>
  <c r="V40" i="10"/>
  <c r="S40" i="10"/>
  <c r="W40" i="10"/>
  <c r="AE35" i="11"/>
  <c r="AA14" i="8"/>
  <c r="Y46" i="8"/>
  <c r="AC46" i="8"/>
  <c r="AB20" i="8"/>
  <c r="Z46" i="8"/>
  <c r="AA46" i="8"/>
  <c r="AC14" i="8"/>
  <c r="AB46" i="8"/>
  <c r="Y14" i="8"/>
  <c r="Y47" i="8" s="1"/>
  <c r="AC20" i="8"/>
  <c r="Z14" i="8"/>
  <c r="AB14" i="8"/>
  <c r="AA20" i="8"/>
  <c r="Z20" i="8"/>
  <c r="Y20" i="8"/>
  <c r="Z40" i="9"/>
  <c r="AB29" i="9"/>
  <c r="AC29" i="9"/>
  <c r="AD29" i="9"/>
  <c r="AB39" i="9"/>
  <c r="AA40" i="9"/>
  <c r="AC39" i="9"/>
  <c r="AB39" i="11"/>
  <c r="AA39" i="11"/>
  <c r="AA49" i="11" s="1"/>
  <c r="AB35" i="11"/>
  <c r="AD39" i="11"/>
  <c r="N40" i="9"/>
  <c r="J40" i="9"/>
  <c r="AD35" i="11"/>
  <c r="AE31" i="11"/>
  <c r="V40" i="9"/>
  <c r="R40" i="9"/>
  <c r="AA40" i="10"/>
  <c r="AD31" i="11"/>
  <c r="Y39" i="11"/>
  <c r="Y31" i="11"/>
  <c r="M40" i="9"/>
  <c r="G40" i="9"/>
  <c r="T40" i="9"/>
  <c r="P40" i="9"/>
  <c r="L40" i="9"/>
  <c r="H40" i="9"/>
  <c r="Q40" i="9"/>
  <c r="U40" i="9"/>
  <c r="I40" i="9"/>
  <c r="K40" i="9"/>
  <c r="S40" i="9"/>
  <c r="W40" i="9"/>
  <c r="Z40" i="10"/>
  <c r="Y33" i="8"/>
  <c r="AB49" i="11" l="1"/>
  <c r="E130" i="14"/>
  <c r="AE49" i="11"/>
  <c r="K51" i="14"/>
  <c r="K130" i="14" s="1"/>
  <c r="Y49" i="11"/>
  <c r="Y40" i="10"/>
  <c r="AD40" i="10"/>
  <c r="AC40" i="10"/>
  <c r="AE40" i="10"/>
  <c r="AB40" i="10"/>
  <c r="Y40" i="9"/>
  <c r="AE40" i="9"/>
  <c r="AB40" i="9"/>
  <c r="AD40" i="9"/>
  <c r="AC40" i="9"/>
  <c r="H43" i="4" l="1"/>
  <c r="I43" i="4"/>
  <c r="J43" i="4"/>
  <c r="K43" i="4"/>
  <c r="L43" i="4"/>
  <c r="M43" i="4"/>
  <c r="N43" i="4"/>
  <c r="O43" i="4"/>
  <c r="P43" i="4"/>
  <c r="Q43" i="4"/>
  <c r="R43" i="4"/>
  <c r="S43" i="4"/>
  <c r="T43" i="4"/>
  <c r="U43" i="4"/>
  <c r="V43" i="4"/>
  <c r="W43" i="4"/>
  <c r="X43" i="4"/>
  <c r="G43" i="4"/>
  <c r="AB42" i="4" l="1"/>
  <c r="AB43" i="4" s="1"/>
  <c r="Y43" i="4"/>
  <c r="AE28" i="4"/>
  <c r="AC28" i="4"/>
  <c r="AE22" i="4"/>
  <c r="AE23" i="4"/>
  <c r="AE24" i="4"/>
  <c r="AC22" i="4"/>
  <c r="AC23" i="4"/>
  <c r="AC24" i="4"/>
  <c r="AB22" i="4"/>
  <c r="AB23" i="4"/>
  <c r="AB24" i="4"/>
  <c r="AA22" i="4"/>
  <c r="AA23" i="4"/>
  <c r="AA24" i="4"/>
  <c r="AE21" i="4"/>
  <c r="AC21" i="4"/>
  <c r="AA16" i="4"/>
  <c r="AA17" i="4"/>
  <c r="AA18" i="4"/>
  <c r="AB16" i="4"/>
  <c r="AB17" i="4"/>
  <c r="AB18" i="4"/>
  <c r="AC16" i="4"/>
  <c r="AC17" i="4"/>
  <c r="AC18" i="4"/>
  <c r="AC15" i="4"/>
  <c r="Z19" i="4"/>
  <c r="AE16" i="4"/>
  <c r="AE17" i="4"/>
  <c r="AE18" i="4"/>
  <c r="AE15" i="4"/>
  <c r="AE12" i="4"/>
  <c r="AE11" i="4"/>
  <c r="AC12" i="4"/>
  <c r="AC19" i="4" l="1"/>
  <c r="Y19" i="4"/>
  <c r="AA19" i="4"/>
  <c r="AB19" i="4"/>
  <c r="H29" i="4" l="1"/>
  <c r="I29" i="4"/>
  <c r="J29" i="4"/>
  <c r="K29" i="4"/>
  <c r="L29" i="4"/>
  <c r="M29" i="4"/>
  <c r="N29" i="4"/>
  <c r="O29" i="4"/>
  <c r="P29" i="4"/>
  <c r="Q29" i="4"/>
  <c r="R29" i="4"/>
  <c r="S29" i="4"/>
  <c r="T29" i="4"/>
  <c r="U29" i="4"/>
  <c r="V29" i="4"/>
  <c r="W29" i="4"/>
  <c r="X29" i="4"/>
  <c r="K19" i="4"/>
  <c r="L19" i="4"/>
  <c r="Q19" i="4"/>
  <c r="R19" i="4"/>
  <c r="S19" i="4"/>
  <c r="T19" i="4"/>
  <c r="U19" i="4"/>
  <c r="V19" i="4"/>
  <c r="W19" i="4"/>
  <c r="X19" i="4"/>
  <c r="L13" i="4"/>
  <c r="M13" i="4"/>
  <c r="N13" i="4"/>
  <c r="U13" i="4"/>
  <c r="V13" i="4"/>
  <c r="W13" i="4"/>
  <c r="Y29" i="4" l="1"/>
  <c r="G29" i="4"/>
  <c r="AD49" i="11" l="1"/>
  <c r="AE44" i="4"/>
  <c r="AD44" i="4"/>
  <c r="X44" i="4"/>
  <c r="O44" i="4"/>
  <c r="G44" i="4"/>
  <c r="H44" i="4"/>
  <c r="I44" i="4"/>
  <c r="J44" i="4"/>
  <c r="K44" i="4"/>
  <c r="L44" i="4"/>
  <c r="M44" i="4"/>
  <c r="N44" i="4"/>
  <c r="P44" i="4"/>
  <c r="Q44" i="4"/>
  <c r="R44" i="4"/>
  <c r="S44" i="4"/>
  <c r="T44" i="4"/>
  <c r="U44" i="4"/>
  <c r="V44" i="4"/>
  <c r="W44" i="4"/>
  <c r="Y44" i="4"/>
  <c r="Z44" i="4"/>
  <c r="AA44" i="4"/>
  <c r="AB44" i="4"/>
  <c r="AC44" i="4"/>
</calcChain>
</file>

<file path=xl/sharedStrings.xml><?xml version="1.0" encoding="utf-8"?>
<sst xmlns="http://schemas.openxmlformats.org/spreadsheetml/2006/main" count="1259" uniqueCount="348">
  <si>
    <t>Lp.</t>
  </si>
  <si>
    <t>kod</t>
  </si>
  <si>
    <t>E</t>
  </si>
  <si>
    <t>Rozkład godzin</t>
  </si>
  <si>
    <t>Przedmiot</t>
  </si>
  <si>
    <t>Razem godz.</t>
  </si>
  <si>
    <t>Razem ECTS</t>
  </si>
  <si>
    <t>ECTS</t>
  </si>
  <si>
    <t>forma zal. po semestrze *</t>
  </si>
  <si>
    <t>razem</t>
  </si>
  <si>
    <t>1 semestr</t>
  </si>
  <si>
    <t>2 semestr</t>
  </si>
  <si>
    <t>Z</t>
  </si>
  <si>
    <t>ZO</t>
  </si>
  <si>
    <t>Całkowity nakład pracy studenta</t>
  </si>
  <si>
    <t>kont.</t>
  </si>
  <si>
    <t>niekont.</t>
  </si>
  <si>
    <t>Język angielski</t>
  </si>
  <si>
    <t>Anatomia</t>
  </si>
  <si>
    <t>Język łaciński</t>
  </si>
  <si>
    <t>Histologia z embriologią</t>
  </si>
  <si>
    <t xml:space="preserve">RAZEM </t>
  </si>
  <si>
    <t>1.MODUŁ Nauki morfologiczne</t>
  </si>
  <si>
    <t>2.MODUŁ Naukowe podstawy medycyny</t>
  </si>
  <si>
    <t>3. MODUŁ nauki przedkliniczne</t>
  </si>
  <si>
    <t>5. MODUŁ nauki kliniczne niezabiegowe</t>
  </si>
  <si>
    <t>6. MODUŁ nauki kliniczne zabiegowe</t>
  </si>
  <si>
    <t>7. MODUŁ prawne i organizacyjne podstawy medycyny</t>
  </si>
  <si>
    <t>8. MODUŁ praktyczne nauczanie kliniczne</t>
  </si>
  <si>
    <t>9. MODUŁ praktyki wakacyjne</t>
  </si>
  <si>
    <t>BHP i ergonomia pracy</t>
  </si>
  <si>
    <t>10. MODUŁ OGÓLNOUCZELNIANY</t>
  </si>
  <si>
    <t>11,12</t>
  </si>
  <si>
    <t>specjalność wybrana przez studenta*</t>
  </si>
  <si>
    <t>4. MODUŁ Nauki behawioralne i społeczne z elementami profesjonalizmu</t>
  </si>
  <si>
    <t>Biofizyka</t>
  </si>
  <si>
    <t>Podstawy biologii komórki</t>
  </si>
  <si>
    <t>Chemia</t>
  </si>
  <si>
    <t>Biochemia</t>
  </si>
  <si>
    <t>Fizjologia z cytofizjologią</t>
  </si>
  <si>
    <t>Patofizjologia</t>
  </si>
  <si>
    <t>Genetyka</t>
  </si>
  <si>
    <t>Mikrobiologia</t>
  </si>
  <si>
    <t>Parazytologia</t>
  </si>
  <si>
    <t>Immunologia</t>
  </si>
  <si>
    <t>Patologia</t>
  </si>
  <si>
    <t>Farmakologia z toksykologia</t>
  </si>
  <si>
    <t>Socjologia medycyny</t>
  </si>
  <si>
    <t>Psychologia lekarska</t>
  </si>
  <si>
    <t>Etyka</t>
  </si>
  <si>
    <t>Historia medycyny</t>
  </si>
  <si>
    <t>Pediatria</t>
  </si>
  <si>
    <t>Geriatria</t>
  </si>
  <si>
    <t>Neurologia</t>
  </si>
  <si>
    <t>Psychiatria</t>
  </si>
  <si>
    <t>Onkologia</t>
  </si>
  <si>
    <t>Medycyna rodzinna</t>
  </si>
  <si>
    <t>Dermatologia i wenerologia</t>
  </si>
  <si>
    <t>Choroby zakaźne</t>
  </si>
  <si>
    <t>Rehabilitacja</t>
  </si>
  <si>
    <t>Diagnostyka laboratoryjna</t>
  </si>
  <si>
    <t>Farmakologia kliniczna</t>
  </si>
  <si>
    <t>Anestezjologia i intensywna terapia</t>
  </si>
  <si>
    <t>Chirurgia ogólna</t>
  </si>
  <si>
    <t>Chirurgia dziecięca</t>
  </si>
  <si>
    <t>Ortopedia i traumatologia</t>
  </si>
  <si>
    <t>Chirurgia onkologiczna</t>
  </si>
  <si>
    <t>Urologia</t>
  </si>
  <si>
    <t>Otolaryngologia</t>
  </si>
  <si>
    <t>Medycyna ratunkowa i medycyna katastrof</t>
  </si>
  <si>
    <t>Ginekologia i położnictwo</t>
  </si>
  <si>
    <t>Okulistyka</t>
  </si>
  <si>
    <t>Neurochirurgia</t>
  </si>
  <si>
    <t>Transplantologia</t>
  </si>
  <si>
    <t>Diagnostyka obrazowa</t>
  </si>
  <si>
    <t>Higiena</t>
  </si>
  <si>
    <t>Epidemiologia</t>
  </si>
  <si>
    <t>Zdrowie publiczne</t>
  </si>
  <si>
    <t>Prawo medyczne</t>
  </si>
  <si>
    <t>Medycyna sądowa</t>
  </si>
  <si>
    <t>Choroby wewnętrzne</t>
  </si>
  <si>
    <t>Chirurgia</t>
  </si>
  <si>
    <t>Medycyna ratunkowa</t>
  </si>
  <si>
    <t>Opieka nad chorym (pielęgniarska)</t>
  </si>
  <si>
    <t>Lecznictwo otwrte</t>
  </si>
  <si>
    <t>Pomoc doraźna</t>
  </si>
  <si>
    <t>Inetensywna terapia</t>
  </si>
  <si>
    <t>Przysposobienie biblioteczne</t>
  </si>
  <si>
    <t>C</t>
  </si>
  <si>
    <t>W</t>
  </si>
  <si>
    <t>L</t>
  </si>
  <si>
    <t>Pierwsza pomoc z elementami pielęgniarstwa</t>
  </si>
  <si>
    <t>Elementy profesjonalizmu</t>
  </si>
  <si>
    <t xml:space="preserve">Biostatystyka z elementami informatyki </t>
  </si>
  <si>
    <t>CP/P</t>
  </si>
  <si>
    <t>3 semestr</t>
  </si>
  <si>
    <t>4 semestr</t>
  </si>
  <si>
    <t>5 semestr</t>
  </si>
  <si>
    <t>6 semestr</t>
  </si>
  <si>
    <t>7 semestr</t>
  </si>
  <si>
    <t>8 semestr</t>
  </si>
  <si>
    <t>9 semestr</t>
  </si>
  <si>
    <t>10 semestr</t>
  </si>
  <si>
    <t>Rozklad godzin</t>
  </si>
  <si>
    <t>CP/L</t>
  </si>
  <si>
    <t>I rok</t>
  </si>
  <si>
    <t>III rok</t>
  </si>
  <si>
    <t>IV rok</t>
  </si>
  <si>
    <t>V rok</t>
  </si>
  <si>
    <t>Wychowanie fizyczne</t>
  </si>
  <si>
    <t>I ROK</t>
  </si>
  <si>
    <r>
      <rPr>
        <sz val="18"/>
        <color indexed="8"/>
        <rFont val="Roboto"/>
        <charset val="238"/>
      </rPr>
      <t>KIERUNEK:</t>
    </r>
    <r>
      <rPr>
        <b/>
        <sz val="18"/>
        <color indexed="8"/>
        <rFont val="Roboto"/>
        <charset val="238"/>
      </rPr>
      <t xml:space="preserve"> LEKARSKI</t>
    </r>
  </si>
  <si>
    <r>
      <rPr>
        <sz val="16"/>
        <color indexed="8"/>
        <rFont val="Roboto"/>
        <charset val="238"/>
      </rPr>
      <t>Wydział:</t>
    </r>
    <r>
      <rPr>
        <b/>
        <sz val="16"/>
        <color indexed="8"/>
        <rFont val="Roboto"/>
        <charset val="238"/>
      </rPr>
      <t xml:space="preserve"> Lekarski i Nauk o Zdrowiu</t>
    </r>
  </si>
  <si>
    <r>
      <t>Instytut:</t>
    </r>
    <r>
      <rPr>
        <b/>
        <sz val="16"/>
        <color indexed="8"/>
        <rFont val="Roboto"/>
        <charset val="238"/>
      </rPr>
      <t xml:space="preserve"> Nauk Medycznych</t>
    </r>
  </si>
  <si>
    <t>Zaburzenia homeostazy komórek nabłonkowych</t>
  </si>
  <si>
    <t>Aktywne składniki materii żywej</t>
  </si>
  <si>
    <t>Nowoczesne techniki mikroskopowe w medycynie</t>
  </si>
  <si>
    <t>11. MODUŁ fakultatywny</t>
  </si>
  <si>
    <t>Zajęcia fakultatywne*</t>
  </si>
  <si>
    <r>
      <t xml:space="preserve">* Zajęcia fakultatywne </t>
    </r>
    <r>
      <rPr>
        <sz val="14"/>
        <color indexed="8"/>
        <rFont val="Roboto"/>
        <charset val="238"/>
      </rPr>
      <t>(student w każdym semestrze wybiera 2 z 3)</t>
    </r>
  </si>
  <si>
    <t>Struktury ciała ludzkiego w badaniach obrazowych</t>
  </si>
  <si>
    <t>II Rok</t>
  </si>
  <si>
    <t>II ROK</t>
  </si>
  <si>
    <t>* Przedmioty w zakresie wsparcia studentów
w procesie uczenia się</t>
  </si>
  <si>
    <t>1-12</t>
  </si>
  <si>
    <t>* Przedmioty w zakresie wsparcia studentów w procesie uczenia się:</t>
  </si>
  <si>
    <t>Nieprawidłowości struktur tkankowych</t>
  </si>
  <si>
    <t>Zatwierdziła Rada Wydziału na posiedzeniu w dniu ……………..</t>
  </si>
  <si>
    <t>Żywność modyfikowana genetycznie</t>
  </si>
  <si>
    <t>Praktyka medyczna oparta na dowodach naukowych (EBM)</t>
  </si>
  <si>
    <t>9</t>
  </si>
  <si>
    <t>Zakażenia szpitalne</t>
  </si>
  <si>
    <t>Molekularne podstawy działania narządów zmysłów</t>
  </si>
  <si>
    <t>10</t>
  </si>
  <si>
    <t>11</t>
  </si>
  <si>
    <t>12</t>
  </si>
  <si>
    <t>13</t>
  </si>
  <si>
    <t>Komunikacja interpersonalna</t>
  </si>
  <si>
    <t>14</t>
  </si>
  <si>
    <t>Elektrofizjologia</t>
  </si>
  <si>
    <t>Aparatura medyczna</t>
  </si>
  <si>
    <t>Immunologia onkologiczna</t>
  </si>
  <si>
    <t>15</t>
  </si>
  <si>
    <t>16</t>
  </si>
  <si>
    <t>17</t>
  </si>
  <si>
    <t>4</t>
  </si>
  <si>
    <t>8</t>
  </si>
  <si>
    <t>5</t>
  </si>
  <si>
    <t>6</t>
  </si>
  <si>
    <t>7</t>
  </si>
  <si>
    <t>III ROK</t>
  </si>
  <si>
    <t>IV ROK</t>
  </si>
  <si>
    <t>18</t>
  </si>
  <si>
    <t>19</t>
  </si>
  <si>
    <t>20</t>
  </si>
  <si>
    <t>21</t>
  </si>
  <si>
    <t>Chirurgia endoskopowa i laparoskopowa</t>
  </si>
  <si>
    <t>Pediatria - kardiologia dziecięca</t>
  </si>
  <si>
    <t>Terapia bólu</t>
  </si>
  <si>
    <t>Chirurgia naczyniowa</t>
  </si>
  <si>
    <t>Farmakoekonomika</t>
  </si>
  <si>
    <t>Zakażenia wirusami przenoszonymi drogą krwi</t>
  </si>
  <si>
    <t>Choroby płuc</t>
  </si>
  <si>
    <t>V ROK</t>
  </si>
  <si>
    <t>Hipertensjologia</t>
  </si>
  <si>
    <t>Gastroenterologia dziecięca</t>
  </si>
  <si>
    <t>Traumatologia dziecięca</t>
  </si>
  <si>
    <t>Diagnostyka obrazowa w stanach nagłych</t>
  </si>
  <si>
    <t>Radioterapia</t>
  </si>
  <si>
    <t>Znaczenie profili genetycznych w leczeniu onkologicznym</t>
  </si>
  <si>
    <t>Metodyka pisania prac naukowych</t>
  </si>
  <si>
    <t>Psychiatria dorosłych</t>
  </si>
  <si>
    <t>Choroby metaboliczne</t>
  </si>
  <si>
    <t>Radiologia w pediatrii</t>
  </si>
  <si>
    <t>Farmakogenetyka</t>
  </si>
  <si>
    <t>Alergologia</t>
  </si>
  <si>
    <t>Anastezjologia i intensywna terapia dziecięca</t>
  </si>
  <si>
    <t>Elektrokardiografia</t>
  </si>
  <si>
    <t>Żywienie kliniczne</t>
  </si>
  <si>
    <t xml:space="preserve">Racjonalna antybiotykoterapia </t>
  </si>
  <si>
    <t>Strukturalne podstawy interwencji sercowo-naczyniowych</t>
  </si>
  <si>
    <t>Kardiologia interwencyjna</t>
  </si>
  <si>
    <t>Patofizjologia nerek</t>
  </si>
  <si>
    <t>Patofizjologia układu endokrynnego</t>
  </si>
  <si>
    <t>Psychiatria dzieci i młodzieży</t>
  </si>
  <si>
    <t>Coaching</t>
  </si>
  <si>
    <t>Psychologia rozwoju osobistego</t>
  </si>
  <si>
    <t>Zarządzanie sobą w czasie</t>
  </si>
  <si>
    <t>Radzenie sobie ze stresem</t>
  </si>
  <si>
    <t xml:space="preserve">Inżynieria genetyczna </t>
  </si>
  <si>
    <t xml:space="preserve">Patofizjologia trzustki </t>
  </si>
  <si>
    <t>22</t>
  </si>
  <si>
    <t>23</t>
  </si>
  <si>
    <t>24</t>
  </si>
  <si>
    <t>25</t>
  </si>
  <si>
    <t>VI ROK</t>
  </si>
  <si>
    <t>VI Rok</t>
  </si>
  <si>
    <t>8. MODUŁ praktyczne nauczanie kliniczne*</t>
  </si>
  <si>
    <t>3/4</t>
  </si>
  <si>
    <t>Specyfika narządowa raportów patomorfologicznych nowotworów</t>
  </si>
  <si>
    <t>Metody diagnostyki patomorfologicznej i molekularnej</t>
  </si>
  <si>
    <r>
      <t xml:space="preserve">Interwencja kryzysowa
 </t>
    </r>
    <r>
      <rPr>
        <sz val="12"/>
        <rFont val="Roboto"/>
        <charset val="238"/>
      </rPr>
      <t>(przedmiot realizowany w formie ćwiczeń)</t>
    </r>
  </si>
  <si>
    <r>
      <t xml:space="preserve">Język migowy 
 </t>
    </r>
    <r>
      <rPr>
        <sz val="12"/>
        <rFont val="Roboto"/>
        <charset val="238"/>
      </rPr>
      <t>(przedmiot realizowany w formie ćwiczeń)</t>
    </r>
  </si>
  <si>
    <t>Patomorfologia zmian zapalnych o różnej etiologii</t>
  </si>
  <si>
    <t>9,10</t>
  </si>
  <si>
    <t>Język obcy**</t>
  </si>
  <si>
    <r>
      <rPr>
        <b/>
        <sz val="11"/>
        <color indexed="8"/>
        <rFont val="Calibri"/>
        <family val="2"/>
        <charset val="238"/>
      </rPr>
      <t xml:space="preserve">** </t>
    </r>
    <r>
      <rPr>
        <sz val="11"/>
        <color indexed="8"/>
        <rFont val="Calibri"/>
        <family val="2"/>
        <charset val="238"/>
      </rPr>
      <t>zgodnie z ofertą Studium Jezyków Obcych UJK</t>
    </r>
  </si>
  <si>
    <t>Metody wspomagania uczenia się</t>
  </si>
  <si>
    <t>26</t>
  </si>
  <si>
    <t>27</t>
  </si>
  <si>
    <t>28</t>
  </si>
  <si>
    <t>29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</si>
  <si>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</si>
  <si>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</si>
  <si>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</si>
  <si>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</si>
  <si>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</si>
  <si>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</si>
  <si>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</si>
  <si>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</si>
  <si>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</si>
  <si>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</si>
  <si>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</si>
  <si>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</si>
  <si>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</si>
  <si>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</si>
  <si>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</si>
  <si>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</si>
  <si>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</si>
  <si>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</si>
  <si>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</si>
  <si>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</si>
  <si>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</si>
  <si>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</si>
  <si>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</si>
  <si>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</si>
  <si>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Lecznictwo otwarte</t>
  </si>
  <si>
    <t>Razem plan</t>
  </si>
  <si>
    <t>11. MODUŁ fakultatywny**</t>
  </si>
  <si>
    <t>1-4</t>
  </si>
  <si>
    <t>1-2</t>
  </si>
  <si>
    <t>1</t>
  </si>
  <si>
    <t>2</t>
  </si>
  <si>
    <t>3</t>
  </si>
  <si>
    <t>realizacja
 w semestrze</t>
  </si>
  <si>
    <t>7-8</t>
  </si>
  <si>
    <t>5-10</t>
  </si>
  <si>
    <t>9-10</t>
  </si>
  <si>
    <t>11 semestr</t>
  </si>
  <si>
    <t>12 semestr</t>
  </si>
  <si>
    <t>11-12</t>
  </si>
  <si>
    <t>3-4</t>
  </si>
  <si>
    <t>5-6</t>
  </si>
  <si>
    <t>9-12</t>
  </si>
  <si>
    <t>30</t>
  </si>
  <si>
    <t>RAZEM</t>
  </si>
  <si>
    <t>*- student wybiera seminaria/ćwiczenia prezentujące różnorodne kazusy/przypadki kliniczne z zakresu każdej specjalności zgodnie z obowiązującymi standardami  kształcenia dla kierunku lekarskiego. 
W ramach praktycznego nauczania klinicznego student zrealizuje  zakładane efekty kształcenia w grupach E i F zgodnie z Załącznikiem 1 do rozporzżdzenia Ministra Nauki i Szkolnictwa Wyższego z dnia 9 maja 2012 r.( poz 631) oraz umiejętności praktyczne przypisane praktycznemu nauczaniu klinicznemu na kierunku lekarskim. 
Praktyczne nauczanie klniczne na VI roku studiów  obejmuje zajecia w klinikach, oddziałach szpitalnych lub w symulowanych warunkach klinicznych. 
Szczegółowy opis warsztatów klinicznych zawiera karta przedmiotu w ramach danej specjalności.</t>
  </si>
  <si>
    <t>Zajęcia fakultatywne-przygotowanie do Lekarskiego Egzaminu Końcowego*</t>
  </si>
  <si>
    <t>55</t>
  </si>
  <si>
    <t>Zajęcia fakultatywne-przygotowanie do Lekarskiego Egzaminu Końcowego</t>
  </si>
  <si>
    <t>6.10</t>
  </si>
  <si>
    <t>5.10</t>
  </si>
  <si>
    <r>
      <rPr>
        <sz val="12"/>
        <color indexed="8"/>
        <rFont val="Roboto"/>
        <charset val="238"/>
      </rPr>
      <t>Wydział:</t>
    </r>
    <r>
      <rPr>
        <b/>
        <sz val="12"/>
        <color indexed="8"/>
        <rFont val="Roboto"/>
        <charset val="238"/>
      </rPr>
      <t xml:space="preserve"> Lekarski i Nauk o Zdrowiu</t>
    </r>
  </si>
  <si>
    <r>
      <t>Instytut:</t>
    </r>
    <r>
      <rPr>
        <b/>
        <sz val="12"/>
        <color indexed="8"/>
        <rFont val="Roboto"/>
        <charset val="238"/>
      </rPr>
      <t xml:space="preserve"> Nauk Medycznych</t>
    </r>
  </si>
  <si>
    <r>
      <rPr>
        <sz val="12"/>
        <color indexed="8"/>
        <rFont val="Roboto"/>
        <charset val="238"/>
      </rPr>
      <t>KIERUNEK:</t>
    </r>
    <r>
      <rPr>
        <b/>
        <sz val="12"/>
        <color indexed="8"/>
        <rFont val="Roboto"/>
        <charset val="238"/>
      </rPr>
      <t xml:space="preserve"> LEKARSKI</t>
    </r>
  </si>
  <si>
    <t>PLAN STUDIÓW STACJONARNYCH JEDNOLITYCH MAGISTERSKICH</t>
  </si>
  <si>
    <t>Zajęcia fakultatywne-przygotowanie do Lekarskiego Egzaminu Końcowego
student wybiera pomiędzy 9-12 semestrem 9 zagadnień z 10:
1. Choroby wewnętrzne
2. Pediatria
3. Chirurgia
4. Położnictwo i ginekologia
5. Medycyna ratunkowa i intensywna terapia
6. Medycyna rodzinna
7. Psychiatria
8. Bioetyka i prawo medyczna
9.Orzecznictwo
10. Zdrowie publiczne</t>
  </si>
  <si>
    <r>
      <rPr>
        <b/>
        <sz val="11"/>
        <color indexed="8"/>
        <rFont val="Calibri"/>
        <family val="2"/>
        <charset val="238"/>
      </rPr>
      <t>Zajęcia fakultatywne-przygotowanie do Lekarskiego Egzaminu Końcowego</t>
    </r>
    <r>
      <rPr>
        <sz val="11"/>
        <color indexed="8"/>
        <rFont val="Calibri"/>
        <family val="2"/>
        <charset val="238"/>
      </rPr>
      <t xml:space="preserve">
student wybiera pomiędzy 9-12 semestrem 9 zagadnień z 10:
1. Choroby wewnętrzne
2. Pediatria
3. Chirurgia
4. Położnictwo i ginekologia
5. Medycyna ratunkowa i intensywna terapia
6. Medycyna rodzinna
7. Psychiatria
8. Bioetyka i prawo medyczna
9.Orzecznictwo
10. Zdrowie publiczne</t>
    </r>
  </si>
  <si>
    <r>
      <t xml:space="preserve">Zajęcia fakultatywne-
przygotowanie do Lekarskiego Egzaminu Końcowego
</t>
    </r>
    <r>
      <rPr>
        <sz val="12"/>
        <rFont val="Calibri"/>
        <family val="2"/>
        <charset val="238"/>
        <scheme val="minor"/>
      </rPr>
      <t>student wybiera 9 zagadnień z 10 pomiędzy 9-12 semestrem</t>
    </r>
  </si>
  <si>
    <t>10.7</t>
  </si>
  <si>
    <t>10.8</t>
  </si>
  <si>
    <t>10.9</t>
  </si>
  <si>
    <t>10.10</t>
  </si>
  <si>
    <t>10.11</t>
  </si>
  <si>
    <t>3,4</t>
  </si>
  <si>
    <t>1,2</t>
  </si>
  <si>
    <t>5,6</t>
  </si>
  <si>
    <t>7,9</t>
  </si>
  <si>
    <t>PRZEDMIOTY FAKULTATYWANE</t>
  </si>
  <si>
    <t>8. MODUŁ  praktyki wakacyjne</t>
  </si>
  <si>
    <t>Bezpieczeństwo pacjenta</t>
  </si>
  <si>
    <t>5-8</t>
  </si>
  <si>
    <t>Hemostaza i tromboza</t>
  </si>
  <si>
    <t>56</t>
  </si>
  <si>
    <t>57</t>
  </si>
  <si>
    <t>58</t>
  </si>
  <si>
    <t xml:space="preserve">Osoba odpowiedzialna za przedmiot </t>
  </si>
  <si>
    <t xml:space="preserve">prof.Kuder </t>
  </si>
  <si>
    <t>dr Domagała</t>
  </si>
  <si>
    <t>dr Bączek</t>
  </si>
  <si>
    <t>dr Lewitowicz</t>
  </si>
  <si>
    <t>prof. Góźdź</t>
  </si>
  <si>
    <t>?</t>
  </si>
  <si>
    <t xml:space="preserve">dr Bączek ? </t>
  </si>
  <si>
    <t>dr Wolak</t>
  </si>
  <si>
    <t>prof. Rokita</t>
  </si>
  <si>
    <t>dr Grabowska/nowo 
zatrudniona do ED</t>
  </si>
  <si>
    <t>prof. Janion 
prof. Sadowski</t>
  </si>
  <si>
    <t xml:space="preserve"> Dr Baczek ?</t>
  </si>
  <si>
    <t>prof. Jaroszyński</t>
  </si>
  <si>
    <t>prof. Głuszek</t>
  </si>
  <si>
    <t>prof.Szczurkowski</t>
  </si>
  <si>
    <t>prof. Brola</t>
  </si>
  <si>
    <t>prof. Wilczyński</t>
  </si>
  <si>
    <t>prof. Kręcisz</t>
  </si>
  <si>
    <t>Informacja do przekazania 
na spotkanie w poniedziałek 
na 15 
TAK/NIE</t>
  </si>
  <si>
    <r>
      <t xml:space="preserve">* Zajęcia fakultatywne </t>
    </r>
    <r>
      <rPr>
        <sz val="14"/>
        <color indexed="8"/>
        <rFont val="Roboto"/>
        <charset val="238"/>
      </rPr>
      <t>(student wybiera w 3 semestrze 3 z 5; w 4 semestrze 3 z 6)</t>
    </r>
  </si>
  <si>
    <t xml:space="preserve">Komunikacja z pacjentem i jego rodzina </t>
  </si>
  <si>
    <t>0912-7LEK-D4.7-KI</t>
  </si>
  <si>
    <t>4.1</t>
  </si>
  <si>
    <t>0912-7LEK-B4.5-H</t>
  </si>
  <si>
    <t>Choroby wewnętrzne-Propedeutyka Interny z Elementami kardiologii</t>
  </si>
  <si>
    <t>0912-7LEK-C5.2-CW</t>
  </si>
  <si>
    <t>0912-7LEK-C5.1-P</t>
  </si>
  <si>
    <t>2. MODUŁ Naukowe podstawy medycyny</t>
  </si>
  <si>
    <t>Metodologia badań naukowych z elementami biostatystyki w medycynie</t>
  </si>
  <si>
    <r>
      <t xml:space="preserve">* Zajęcia fakultatywne </t>
    </r>
    <r>
      <rPr>
        <sz val="14"/>
        <color indexed="8"/>
        <rFont val="Roboto"/>
        <charset val="238"/>
      </rPr>
      <t>( student wybiera z grupy 9 przedmiotów: 3 przedmioty w 7 semestrze oraz 3 przedmioty w 8 semestrze)</t>
    </r>
  </si>
  <si>
    <r>
      <t xml:space="preserve">* Zajęcia fakultatywne </t>
    </r>
    <r>
      <rPr>
        <sz val="14"/>
        <color indexed="8"/>
        <rFont val="Roboto"/>
        <charset val="238"/>
      </rPr>
      <t>(student wybiera w 5 semestrze 3 z 5; w 6 semestrze 2 z 3)</t>
    </r>
  </si>
  <si>
    <t>Podstawy kodowania i rozliczania świadczeń w ramach umów z płatnikiem publicznym</t>
  </si>
  <si>
    <t>5.2a</t>
  </si>
  <si>
    <t>Choroby wewnętrzne-</t>
  </si>
  <si>
    <t>6-10</t>
  </si>
  <si>
    <t>Choroby wewnętrzne propedeutyka</t>
  </si>
  <si>
    <t xml:space="preserve">** Program ,, OKNO NA ŚWIAT" dotyczy studiów stacjonarnych+ niestacjonarych </t>
  </si>
  <si>
    <t>Patofizjologia**</t>
  </si>
  <si>
    <t>Patologia**</t>
  </si>
  <si>
    <t>Farmakologia z toksykologia**</t>
  </si>
  <si>
    <t>Farmakologia kliniczna**</t>
  </si>
  <si>
    <t xml:space="preserve">Dermatologia wieku dziecięcego  </t>
  </si>
  <si>
    <t>Zmiany skórne w przebiegu chorób ogólnoustrojowych</t>
  </si>
  <si>
    <t xml:space="preserve">Chirurgiczne leczenie otyłości </t>
  </si>
  <si>
    <t>0912-7LEK-F32-C</t>
  </si>
  <si>
    <t>0912-7LEK-F53-Z</t>
  </si>
  <si>
    <t>0912-7LEK-F55-B</t>
  </si>
  <si>
    <t>0912-7LEK-F56-F</t>
  </si>
  <si>
    <t>0912-7LEK-F57-P</t>
  </si>
  <si>
    <t>Leczenie skojarzone</t>
  </si>
  <si>
    <t>0912-7LEK-B2.9-MP</t>
  </si>
  <si>
    <t>59</t>
  </si>
  <si>
    <t>5,7,8,9,10</t>
  </si>
  <si>
    <t>5-11</t>
  </si>
  <si>
    <t xml:space="preserve">Tytuł projektu ,, OKNO NA ŚWIAT"
W ramach projektu wprowadza się: 
1. ROK III studiów ( rok akademicki 2019/20):         
a) e-learning ćwiczenia:         
**Patofizjologia sem. I 3 godz; sem. II 3 godz. razem 6 godz.   
**Patologia sem. I 5 godz; sem. II 5 godz. razem 10 godz.    
**Farmakologia z toksykologią sem. I 3 godz; sem. II 3 godz. razem 6 godz.  
2. ROK IV studiów ( rok akademicki 2020/21):         
a) e-learning ćwiczenia:         
**Farmakologia kliniczna sem. I 5 godz;  razem 5 godz.          
b) fakultety ćwiczenia         
**Chirurgiczne leczenie otyłości  sem. I 15 godz.          
**Dermatologia wieku dziecięcego sem. II 15 godz.          
3. ROK V studiów (rok akademicki 2021/22):         
a) fakultet ćwiczenia          
Zmiany skórne w przebiegu chorób ogólnoustrojowych sem. I 15 godz.         
</t>
  </si>
  <si>
    <t>Endokrynologia dziecięca</t>
  </si>
  <si>
    <r>
      <t xml:space="preserve">* Zajęcia fakultatywne </t>
    </r>
    <r>
      <rPr>
        <sz val="14"/>
        <color indexed="8"/>
        <rFont val="Roboto"/>
        <charset val="238"/>
      </rPr>
      <t>(student wybiera z grupy 20 przedmiotów: 2 przedmioty w 9 semestrze oraz 1 przedmiot w 10 semestrze )</t>
    </r>
  </si>
  <si>
    <r>
      <t xml:space="preserve">Chirurgia onkologiczna </t>
    </r>
    <r>
      <rPr>
        <b/>
        <i/>
        <sz val="10"/>
        <color rgb="FFFF0000"/>
        <rFont val="Roboto"/>
        <charset val="238"/>
      </rPr>
      <t>(1-razowa zmiana sem. z zimowego na letni, zgoda RW)</t>
    </r>
  </si>
  <si>
    <r>
      <t>Medycyna ratunkowa i medycyna katastrof  (</t>
    </r>
    <r>
      <rPr>
        <b/>
        <i/>
        <sz val="10"/>
        <color rgb="FFFF0000"/>
        <rFont val="Roboto"/>
        <charset val="238"/>
      </rPr>
      <t>1-razowa zmiana sem. z letniego na zimowy, zgoda RW)</t>
    </r>
  </si>
  <si>
    <r>
      <rPr>
        <b/>
        <sz val="12"/>
        <color rgb="FFFF0000"/>
        <rFont val="Roboto"/>
        <charset val="238"/>
      </rPr>
      <t>* Tytuł projektu ,, OKNO NA ŚWIAT" 
W ramach projektu wprowadza się:              ROK V studiów (rok akademicki 2021/22):         
a) fakultet ćwiczenia          
Zmiany skórne w przebiegu chorób ogólnoustrojowych sem. I 15 godz.</t>
    </r>
    <r>
      <rPr>
        <b/>
        <sz val="12"/>
        <rFont val="Roboto"/>
        <charset val="238"/>
      </rPr>
      <t xml:space="preserve">         </t>
    </r>
  </si>
  <si>
    <t>Zmiany skórne w przebiegu chorób ogólnoustrojowych 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</si>
</sst>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3">
    <font>
      <sz val="11"/>
      <color indexed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color indexed="8"/>
      <name val="Czcionka tekstu podstawowego"/>
      <family val="2"/>
      <charset val="238"/>
    </font>
    <font>
      <b/>
      <sz val="12"/>
      <color indexed="8"/>
      <name val="Calibri"/>
      <family val="2"/>
      <charset val="238"/>
    </font>
    <font>
      <b/>
      <sz val="16"/>
      <color indexed="8"/>
      <name val="Calibri"/>
      <family val="2"/>
      <charset val="238"/>
    </font>
    <font>
      <sz val="16"/>
      <color indexed="8"/>
      <name val="Calibri"/>
      <family val="2"/>
      <charset val="238"/>
    </font>
    <font>
      <b/>
      <sz val="14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4"/>
      <color rgb="FFFF0000"/>
      <name val="Calibri"/>
      <family val="2"/>
      <charset val="238"/>
    </font>
    <font>
      <sz val="14"/>
      <color rgb="FFFF0000"/>
      <name val="Calibri"/>
      <family val="2"/>
      <charset val="238"/>
    </font>
    <font>
      <sz val="16"/>
      <name val="Times New Roman"/>
      <family val="1"/>
      <charset val="238"/>
    </font>
    <font>
      <sz val="16"/>
      <color rgb="FFFF0000"/>
      <name val="Calibri"/>
      <family val="2"/>
      <charset val="238"/>
    </font>
    <font>
      <sz val="16"/>
      <color rgb="FFFF0000"/>
      <name val="Calibri"/>
      <family val="2"/>
      <charset val="238"/>
      <scheme val="minor"/>
    </font>
    <font>
      <sz val="11"/>
      <color rgb="FFFF0000"/>
      <name val="Calibri"/>
      <family val="2"/>
      <charset val="238"/>
    </font>
    <font>
      <sz val="16"/>
      <name val="Calibri"/>
      <family val="2"/>
      <charset val="238"/>
      <scheme val="minor"/>
    </font>
    <font>
      <sz val="11"/>
      <color indexed="8"/>
      <name val="Roboto"/>
      <charset val="238"/>
    </font>
    <font>
      <b/>
      <sz val="16"/>
      <color indexed="8"/>
      <name val="Roboto"/>
      <charset val="238"/>
    </font>
    <font>
      <sz val="16"/>
      <color indexed="8"/>
      <name val="Roboto"/>
      <charset val="238"/>
    </font>
    <font>
      <b/>
      <sz val="11"/>
      <color indexed="8"/>
      <name val="Roboto"/>
      <charset val="238"/>
    </font>
    <font>
      <b/>
      <sz val="10"/>
      <color indexed="8"/>
      <name val="Roboto"/>
      <charset val="238"/>
    </font>
    <font>
      <b/>
      <i/>
      <sz val="12"/>
      <name val="Roboto"/>
      <charset val="238"/>
    </font>
    <font>
      <b/>
      <sz val="12"/>
      <color indexed="8"/>
      <name val="Roboto"/>
      <charset val="238"/>
    </font>
    <font>
      <b/>
      <sz val="12"/>
      <name val="Roboto"/>
      <charset val="238"/>
    </font>
    <font>
      <b/>
      <sz val="11"/>
      <color theme="1"/>
      <name val="Roboto"/>
      <charset val="238"/>
    </font>
    <font>
      <b/>
      <sz val="14"/>
      <color rgb="FFFF0000"/>
      <name val="Roboto"/>
      <charset val="238"/>
    </font>
    <font>
      <sz val="14"/>
      <color rgb="FFFF0000"/>
      <name val="Roboto"/>
      <charset val="238"/>
    </font>
    <font>
      <sz val="14"/>
      <color indexed="8"/>
      <name val="Roboto"/>
      <charset val="238"/>
    </font>
    <font>
      <b/>
      <sz val="14"/>
      <color indexed="8"/>
      <name val="Roboto"/>
      <charset val="238"/>
    </font>
    <font>
      <sz val="10"/>
      <color indexed="8"/>
      <name val="Roboto"/>
      <charset val="238"/>
    </font>
    <font>
      <sz val="10"/>
      <name val="Roboto"/>
      <charset val="238"/>
    </font>
    <font>
      <sz val="9"/>
      <name val="Roboto"/>
      <charset val="238"/>
    </font>
    <font>
      <sz val="12"/>
      <color indexed="8"/>
      <name val="Roboto"/>
      <charset val="238"/>
    </font>
    <font>
      <b/>
      <sz val="12"/>
      <color theme="1"/>
      <name val="Roboto"/>
      <charset val="238"/>
    </font>
    <font>
      <b/>
      <sz val="12"/>
      <color rgb="FFFF0000"/>
      <name val="Roboto"/>
      <charset val="238"/>
    </font>
    <font>
      <b/>
      <i/>
      <sz val="11"/>
      <name val="Roboto"/>
      <charset val="238"/>
    </font>
    <font>
      <sz val="9"/>
      <color indexed="8"/>
      <name val="Roboto"/>
      <charset val="238"/>
    </font>
    <font>
      <b/>
      <sz val="18"/>
      <name val="Roboto"/>
      <charset val="238"/>
    </font>
    <font>
      <sz val="12"/>
      <name val="Roboto"/>
      <charset val="238"/>
    </font>
    <font>
      <b/>
      <sz val="14"/>
      <name val="Roboto"/>
      <charset val="238"/>
    </font>
    <font>
      <b/>
      <sz val="18"/>
      <color indexed="8"/>
      <name val="Roboto"/>
      <charset val="238"/>
    </font>
    <font>
      <sz val="18"/>
      <color indexed="8"/>
      <name val="Roboto"/>
      <charset val="238"/>
    </font>
    <font>
      <b/>
      <sz val="20"/>
      <color indexed="8"/>
      <name val="Roboto"/>
      <charset val="238"/>
    </font>
    <font>
      <b/>
      <sz val="24"/>
      <color indexed="8"/>
      <name val="Roboto"/>
      <charset val="238"/>
    </font>
    <font>
      <sz val="20"/>
      <color indexed="8"/>
      <name val="Roboto"/>
      <charset val="238"/>
    </font>
    <font>
      <sz val="11"/>
      <name val="Roboto"/>
      <charset val="238"/>
    </font>
    <font>
      <b/>
      <sz val="12"/>
      <color theme="1" tint="0.34998626667073579"/>
      <name val="Roboto"/>
      <charset val="238"/>
    </font>
    <font>
      <b/>
      <sz val="11"/>
      <color theme="1" tint="0.34998626667073579"/>
      <name val="Roboto"/>
      <charset val="238"/>
    </font>
    <font>
      <b/>
      <i/>
      <sz val="12"/>
      <color indexed="8"/>
      <name val="Roboto"/>
      <charset val="238"/>
    </font>
    <font>
      <b/>
      <sz val="12"/>
      <color theme="1" tint="0.499984740745262"/>
      <name val="Roboto"/>
      <charset val="238"/>
    </font>
    <font>
      <sz val="11"/>
      <color theme="1" tint="0.499984740745262"/>
      <name val="Calibri"/>
      <family val="2"/>
      <charset val="238"/>
    </font>
    <font>
      <b/>
      <sz val="11"/>
      <color theme="1" tint="0.499984740745262"/>
      <name val="Roboto"/>
      <charset val="238"/>
    </font>
    <font>
      <b/>
      <i/>
      <sz val="12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b/>
      <sz val="14"/>
      <color indexed="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8"/>
      <color indexed="8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</font>
    <font>
      <b/>
      <sz val="11"/>
      <color rgb="FFFF0000"/>
      <name val="Calibri"/>
      <family val="2"/>
      <charset val="238"/>
    </font>
    <font>
      <b/>
      <sz val="11"/>
      <color rgb="FFFF0000"/>
      <name val="Roboto"/>
      <charset val="238"/>
    </font>
    <font>
      <sz val="11"/>
      <color rgb="FFFF0000"/>
      <name val="Roboto"/>
      <charset val="238"/>
    </font>
    <font>
      <sz val="11"/>
      <color rgb="FFFF0000"/>
      <name val="Calibri"/>
      <family val="2"/>
      <charset val="238"/>
      <scheme val="minor"/>
    </font>
    <font>
      <b/>
      <sz val="11"/>
      <name val="Roboto"/>
      <charset val="238"/>
    </font>
    <font>
      <sz val="11"/>
      <color theme="1"/>
      <name val="Roboto"/>
      <charset val="238"/>
    </font>
    <font>
      <sz val="11"/>
      <color theme="1"/>
      <name val="Calibri"/>
      <family val="2"/>
      <charset val="238"/>
    </font>
    <font>
      <b/>
      <i/>
      <sz val="12"/>
      <color theme="1"/>
      <name val="Roboto"/>
      <charset val="238"/>
    </font>
    <font>
      <b/>
      <sz val="12"/>
      <color theme="0" tint="-0.34998626667073579"/>
      <name val="Roboto"/>
      <charset val="238"/>
    </font>
    <font>
      <b/>
      <sz val="12"/>
      <color theme="0" tint="-0.499984740745262"/>
      <name val="Roboto"/>
      <charset val="238"/>
    </font>
    <font>
      <b/>
      <sz val="11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</font>
    <font>
      <sz val="10"/>
      <color indexed="8"/>
      <name val="Calibri"/>
      <family val="2"/>
      <charset val="238"/>
    </font>
    <font>
      <sz val="11"/>
      <color rgb="FFC00000"/>
      <name val="Calibri"/>
      <family val="2"/>
      <charset val="238"/>
      <scheme val="minor"/>
    </font>
    <font>
      <b/>
      <i/>
      <sz val="10"/>
      <color rgb="FFFF0000"/>
      <name val="Roboto"/>
      <charset val="238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C4C4C4"/>
        <bgColor indexed="64"/>
      </patternFill>
    </fill>
    <fill>
      <patternFill patternType="solid">
        <fgColor rgb="FFE2E2E2"/>
        <bgColor indexed="64"/>
      </patternFill>
    </fill>
    <fill>
      <patternFill patternType="solid">
        <fgColor rgb="FFD2E8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</borders>
  <cellStyleXfs count="5">
    <xf numFmtId="0" fontId="0" fillId="0" borderId="0"/>
    <xf numFmtId="0" fontId="3" fillId="0" borderId="0"/>
    <xf numFmtId="0" fontId="8" fillId="0" borderId="0"/>
    <xf numFmtId="0" fontId="7" fillId="0" borderId="0"/>
    <xf numFmtId="0" fontId="2" fillId="0" borderId="0"/>
  </cellStyleXfs>
  <cellXfs count="634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/>
    <xf numFmtId="0" fontId="0" fillId="0" borderId="0" xfId="0" applyAlignment="1"/>
    <xf numFmtId="164" fontId="6" fillId="0" borderId="1" xfId="0" applyNumberFormat="1" applyFont="1" applyFill="1" applyBorder="1" applyAlignment="1">
      <alignment horizontal="center" vertical="center"/>
    </xf>
    <xf numFmtId="164" fontId="0" fillId="0" borderId="0" xfId="0" applyNumberFormat="1" applyAlignment="1">
      <alignment horizontal="center"/>
    </xf>
    <xf numFmtId="164" fontId="5" fillId="0" borderId="0" xfId="0" applyNumberFormat="1" applyFont="1" applyFill="1" applyBorder="1" applyAlignment="1">
      <alignment horizontal="center" vertical="center" wrapText="1"/>
    </xf>
    <xf numFmtId="0" fontId="9" fillId="0" borderId="0" xfId="0" applyFont="1" applyAlignment="1"/>
    <xf numFmtId="0" fontId="9" fillId="0" borderId="0" xfId="0" applyFont="1"/>
    <xf numFmtId="0" fontId="11" fillId="0" borderId="0" xfId="0" applyFont="1" applyAlignment="1">
      <alignment horizontal="center"/>
    </xf>
    <xf numFmtId="0" fontId="11" fillId="0" borderId="0" xfId="0" applyFont="1" applyAlignment="1"/>
    <xf numFmtId="0" fontId="11" fillId="0" borderId="0" xfId="0" applyFont="1"/>
    <xf numFmtId="0" fontId="11" fillId="2" borderId="0" xfId="0" applyFont="1" applyFill="1"/>
    <xf numFmtId="0" fontId="10" fillId="0" borderId="0" xfId="0" applyFont="1" applyAlignment="1">
      <alignment vertical="top" wrapText="1"/>
    </xf>
    <xf numFmtId="0" fontId="11" fillId="0" borderId="0" xfId="0" applyFont="1" applyAlignment="1">
      <alignment horizontal="left" vertical="top"/>
    </xf>
    <xf numFmtId="14" fontId="6" fillId="0" borderId="1" xfId="0" applyNumberFormat="1" applyFont="1" applyFill="1" applyBorder="1" applyAlignment="1">
      <alignment horizontal="left" vertical="center" wrapText="1"/>
    </xf>
    <xf numFmtId="0" fontId="10" fillId="0" borderId="0" xfId="0" applyFont="1"/>
    <xf numFmtId="0" fontId="4" fillId="0" borderId="0" xfId="0" applyFont="1"/>
    <xf numFmtId="0" fontId="12" fillId="0" borderId="0" xfId="0" applyFont="1"/>
    <xf numFmtId="0" fontId="13" fillId="0" borderId="0" xfId="0" applyFont="1" applyAlignment="1">
      <alignment horizontal="center"/>
    </xf>
    <xf numFmtId="0" fontId="13" fillId="0" borderId="0" xfId="0" applyFont="1"/>
    <xf numFmtId="0" fontId="14" fillId="0" borderId="0" xfId="0" applyFont="1"/>
    <xf numFmtId="0" fontId="15" fillId="0" borderId="0" xfId="0" applyFont="1" applyAlignment="1">
      <alignment horizontal="center"/>
    </xf>
    <xf numFmtId="0" fontId="15" fillId="0" borderId="0" xfId="0" applyFont="1"/>
    <xf numFmtId="0" fontId="14" fillId="2" borderId="0" xfId="0" applyFont="1" applyFill="1"/>
    <xf numFmtId="0" fontId="15" fillId="2" borderId="0" xfId="0" applyFont="1" applyFill="1" applyAlignment="1">
      <alignment horizontal="center"/>
    </xf>
    <xf numFmtId="0" fontId="15" fillId="2" borderId="0" xfId="0" applyFont="1" applyFill="1"/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vertical="top" wrapText="1"/>
    </xf>
    <xf numFmtId="0" fontId="16" fillId="0" borderId="0" xfId="0" applyFont="1" applyFill="1" applyBorder="1" applyAlignment="1">
      <alignment horizontal="center" vertical="center" wrapText="1"/>
    </xf>
    <xf numFmtId="0" fontId="17" fillId="0" borderId="0" xfId="0" applyFont="1"/>
    <xf numFmtId="0" fontId="18" fillId="0" borderId="0" xfId="0" applyFont="1" applyFill="1" applyBorder="1" applyAlignment="1">
      <alignment vertical="center" wrapText="1"/>
    </xf>
    <xf numFmtId="0" fontId="19" fillId="0" borderId="0" xfId="0" applyFont="1"/>
    <xf numFmtId="0" fontId="18" fillId="0" borderId="0" xfId="0" applyFont="1" applyFill="1" applyBorder="1" applyAlignment="1">
      <alignment vertical="top" wrapText="1"/>
    </xf>
    <xf numFmtId="0" fontId="20" fillId="0" borderId="0" xfId="0" applyFont="1" applyFill="1" applyBorder="1" applyAlignment="1">
      <alignment vertical="top" wrapText="1"/>
    </xf>
    <xf numFmtId="0" fontId="20" fillId="0" borderId="0" xfId="0" applyFont="1" applyFill="1" applyBorder="1" applyAlignment="1">
      <alignment horizontal="left" vertical="top" wrapText="1"/>
    </xf>
    <xf numFmtId="0" fontId="18" fillId="0" borderId="0" xfId="0" applyFont="1"/>
    <xf numFmtId="0" fontId="17" fillId="2" borderId="0" xfId="0" applyFont="1" applyFill="1"/>
    <xf numFmtId="0" fontId="21" fillId="0" borderId="0" xfId="0" applyFont="1"/>
    <xf numFmtId="0" fontId="24" fillId="6" borderId="11" xfId="0" applyFont="1" applyFill="1" applyBorder="1" applyAlignment="1">
      <alignment vertical="center"/>
    </xf>
    <xf numFmtId="0" fontId="24" fillId="6" borderId="12" xfId="0" applyFont="1" applyFill="1" applyBorder="1" applyAlignment="1">
      <alignment vertical="center"/>
    </xf>
    <xf numFmtId="0" fontId="24" fillId="6" borderId="13" xfId="0" applyFont="1" applyFill="1" applyBorder="1" applyAlignment="1">
      <alignment vertical="center"/>
    </xf>
    <xf numFmtId="164" fontId="21" fillId="0" borderId="1" xfId="0" applyNumberFormat="1" applyFont="1" applyFill="1" applyBorder="1" applyAlignment="1">
      <alignment horizontal="center" vertical="center" wrapText="1"/>
    </xf>
    <xf numFmtId="0" fontId="26" fillId="0" borderId="5" xfId="0" applyFont="1" applyFill="1" applyBorder="1" applyAlignment="1">
      <alignment vertical="center" wrapText="1"/>
    </xf>
    <xf numFmtId="14" fontId="21" fillId="0" borderId="1" xfId="0" applyNumberFormat="1" applyFont="1" applyFill="1" applyBorder="1" applyAlignment="1">
      <alignment horizontal="left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 wrapText="1"/>
    </xf>
    <xf numFmtId="0" fontId="24" fillId="5" borderId="1" xfId="0" applyFont="1" applyFill="1" applyBorder="1" applyAlignment="1">
      <alignment horizontal="center" vertical="center" wrapText="1"/>
    </xf>
    <xf numFmtId="0" fontId="24" fillId="6" borderId="5" xfId="0" applyFont="1" applyFill="1" applyBorder="1" applyAlignment="1">
      <alignment vertical="center"/>
    </xf>
    <xf numFmtId="0" fontId="24" fillId="6" borderId="6" xfId="0" applyFont="1" applyFill="1" applyBorder="1" applyAlignment="1">
      <alignment vertical="center"/>
    </xf>
    <xf numFmtId="0" fontId="24" fillId="6" borderId="6" xfId="0" applyFont="1" applyFill="1" applyBorder="1" applyAlignment="1">
      <alignment horizontal="left" vertical="center"/>
    </xf>
    <xf numFmtId="0" fontId="27" fillId="6" borderId="6" xfId="0" applyFont="1" applyFill="1" applyBorder="1" applyAlignment="1">
      <alignment vertical="center"/>
    </xf>
    <xf numFmtId="0" fontId="27" fillId="6" borderId="8" xfId="0" applyFont="1" applyFill="1" applyBorder="1" applyAlignment="1">
      <alignment vertical="center"/>
    </xf>
    <xf numFmtId="164" fontId="21" fillId="0" borderId="4" xfId="0" applyNumberFormat="1" applyFont="1" applyFill="1" applyBorder="1" applyAlignment="1">
      <alignment horizontal="center" vertical="center" wrapText="1"/>
    </xf>
    <xf numFmtId="0" fontId="27" fillId="5" borderId="1" xfId="0" applyFont="1" applyFill="1" applyBorder="1" applyAlignment="1">
      <alignment horizontal="center" vertical="center" wrapText="1"/>
    </xf>
    <xf numFmtId="164" fontId="21" fillId="0" borderId="1" xfId="0" applyNumberFormat="1" applyFont="1" applyFill="1" applyBorder="1" applyAlignment="1">
      <alignment horizontal="center" vertical="center"/>
    </xf>
    <xf numFmtId="0" fontId="26" fillId="0" borderId="8" xfId="0" applyFont="1" applyFill="1" applyBorder="1" applyAlignment="1">
      <alignment vertical="center" wrapText="1"/>
    </xf>
    <xf numFmtId="0" fontId="27" fillId="0" borderId="1" xfId="0" applyFont="1" applyFill="1" applyBorder="1" applyAlignment="1">
      <alignment vertical="center" wrapText="1"/>
    </xf>
    <xf numFmtId="0" fontId="28" fillId="0" borderId="8" xfId="0" applyFont="1" applyFill="1" applyBorder="1" applyAlignment="1">
      <alignment vertical="center" wrapText="1"/>
    </xf>
    <xf numFmtId="0" fontId="28" fillId="0" borderId="8" xfId="3" applyFont="1" applyFill="1" applyBorder="1" applyAlignment="1">
      <alignment vertical="center" wrapText="1"/>
    </xf>
    <xf numFmtId="0" fontId="28" fillId="7" borderId="8" xfId="3" applyFont="1" applyFill="1" applyBorder="1" applyAlignment="1">
      <alignment vertical="center" wrapText="1"/>
    </xf>
    <xf numFmtId="0" fontId="21" fillId="3" borderId="17" xfId="0" applyFont="1" applyFill="1" applyBorder="1" applyAlignment="1">
      <alignment horizontal="center" vertical="center"/>
    </xf>
    <xf numFmtId="0" fontId="24" fillId="3" borderId="17" xfId="0" applyFont="1" applyFill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7" fillId="0" borderId="0" xfId="0" applyFont="1" applyAlignment="1"/>
    <xf numFmtId="0" fontId="27" fillId="0" borderId="0" xfId="0" applyFont="1"/>
    <xf numFmtId="0" fontId="23" fillId="0" borderId="0" xfId="0" applyFont="1" applyAlignment="1">
      <alignment horizontal="left" vertical="top"/>
    </xf>
    <xf numFmtId="0" fontId="23" fillId="0" borderId="0" xfId="0" applyFont="1" applyAlignment="1"/>
    <xf numFmtId="0" fontId="22" fillId="0" borderId="0" xfId="0" applyFont="1" applyAlignment="1">
      <alignment vertical="top" wrapText="1"/>
    </xf>
    <xf numFmtId="164" fontId="21" fillId="0" borderId="0" xfId="0" applyNumberFormat="1" applyFont="1" applyAlignment="1">
      <alignment horizontal="center"/>
    </xf>
    <xf numFmtId="0" fontId="22" fillId="0" borderId="0" xfId="0" applyFont="1"/>
    <xf numFmtId="0" fontId="21" fillId="0" borderId="0" xfId="0" applyFont="1" applyAlignment="1"/>
    <xf numFmtId="0" fontId="30" fillId="0" borderId="0" xfId="0" applyFont="1"/>
    <xf numFmtId="0" fontId="31" fillId="0" borderId="0" xfId="0" applyFont="1"/>
    <xf numFmtId="0" fontId="32" fillId="0" borderId="0" xfId="0" applyFont="1"/>
    <xf numFmtId="0" fontId="23" fillId="0" borderId="0" xfId="0" applyFont="1"/>
    <xf numFmtId="0" fontId="24" fillId="0" borderId="0" xfId="0" applyFont="1" applyAlignment="1"/>
    <xf numFmtId="0" fontId="30" fillId="2" borderId="0" xfId="0" applyFont="1" applyFill="1"/>
    <xf numFmtId="0" fontId="21" fillId="2" borderId="0" xfId="0" applyFont="1" applyFill="1"/>
    <xf numFmtId="0" fontId="21" fillId="2" borderId="0" xfId="0" applyFont="1" applyFill="1" applyAlignment="1">
      <alignment horizontal="center"/>
    </xf>
    <xf numFmtId="0" fontId="31" fillId="2" borderId="0" xfId="0" applyFont="1" applyFill="1"/>
    <xf numFmtId="0" fontId="32" fillId="2" borderId="0" xfId="0" applyFont="1" applyFill="1"/>
    <xf numFmtId="0" fontId="23" fillId="2" borderId="0" xfId="0" applyFont="1" applyFill="1"/>
    <xf numFmtId="0" fontId="21" fillId="0" borderId="0" xfId="0" applyFont="1" applyAlignment="1">
      <alignment horizontal="center"/>
    </xf>
    <xf numFmtId="0" fontId="23" fillId="0" borderId="0" xfId="0" applyFont="1" applyFill="1" applyBorder="1"/>
    <xf numFmtId="0" fontId="33" fillId="0" borderId="0" xfId="0" applyFont="1"/>
    <xf numFmtId="164" fontId="24" fillId="0" borderId="0" xfId="0" applyNumberFormat="1" applyFont="1" applyFill="1" applyBorder="1" applyAlignment="1">
      <alignment horizontal="center" vertical="center" wrapText="1"/>
    </xf>
    <xf numFmtId="164" fontId="24" fillId="0" borderId="0" xfId="0" applyNumberFormat="1" applyFont="1" applyFill="1" applyBorder="1" applyAlignment="1">
      <alignment horizontal="center" vertical="center"/>
    </xf>
    <xf numFmtId="164" fontId="34" fillId="0" borderId="0" xfId="0" applyNumberFormat="1" applyFont="1" applyFill="1" applyBorder="1" applyAlignment="1">
      <alignment horizontal="center" vertical="center"/>
    </xf>
    <xf numFmtId="0" fontId="24" fillId="2" borderId="0" xfId="0" applyFont="1" applyFill="1"/>
    <xf numFmtId="0" fontId="24" fillId="0" borderId="0" xfId="0" applyFont="1"/>
    <xf numFmtId="164" fontId="35" fillId="0" borderId="0" xfId="0" applyNumberFormat="1" applyFont="1" applyFill="1" applyBorder="1" applyAlignment="1">
      <alignment horizontal="center" vertical="center" wrapText="1"/>
    </xf>
    <xf numFmtId="164" fontId="36" fillId="0" borderId="0" xfId="0" applyNumberFormat="1" applyFont="1" applyFill="1" applyBorder="1" applyAlignment="1">
      <alignment horizontal="center"/>
    </xf>
    <xf numFmtId="0" fontId="24" fillId="0" borderId="0" xfId="0" applyFont="1" applyFill="1" applyBorder="1"/>
    <xf numFmtId="164" fontId="21" fillId="0" borderId="0" xfId="0" applyNumberFormat="1" applyFont="1" applyFill="1" applyBorder="1" applyAlignment="1">
      <alignment horizontal="center"/>
    </xf>
    <xf numFmtId="0" fontId="21" fillId="0" borderId="0" xfId="0" applyFont="1" applyFill="1" applyBorder="1"/>
    <xf numFmtId="0" fontId="6" fillId="0" borderId="15" xfId="0" applyFont="1" applyFill="1" applyBorder="1" applyAlignment="1">
      <alignment vertical="center" wrapText="1"/>
    </xf>
    <xf numFmtId="0" fontId="38" fillId="0" borderId="1" xfId="1" applyFont="1" applyFill="1" applyBorder="1"/>
    <xf numFmtId="2" fontId="21" fillId="0" borderId="1" xfId="0" applyNumberFormat="1" applyFont="1" applyFill="1" applyBorder="1" applyAlignment="1">
      <alignment horizontal="center" vertical="center"/>
    </xf>
    <xf numFmtId="0" fontId="26" fillId="0" borderId="7" xfId="0" applyFont="1" applyFill="1" applyBorder="1" applyAlignment="1">
      <alignment vertical="center" wrapText="1"/>
    </xf>
    <xf numFmtId="0" fontId="21" fillId="5" borderId="1" xfId="0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vertical="center" wrapText="1"/>
    </xf>
    <xf numFmtId="164" fontId="22" fillId="0" borderId="0" xfId="0" applyNumberFormat="1" applyFont="1" applyAlignment="1"/>
    <xf numFmtId="0" fontId="23" fillId="0" borderId="0" xfId="0" applyFont="1" applyFill="1" applyBorder="1" applyAlignment="1">
      <alignment vertical="center"/>
    </xf>
    <xf numFmtId="0" fontId="24" fillId="6" borderId="21" xfId="0" applyFont="1" applyFill="1" applyBorder="1" applyAlignment="1">
      <alignment vertical="center"/>
    </xf>
    <xf numFmtId="0" fontId="24" fillId="6" borderId="20" xfId="0" applyFont="1" applyFill="1" applyBorder="1" applyAlignment="1">
      <alignment vertical="center"/>
    </xf>
    <xf numFmtId="0" fontId="24" fillId="6" borderId="20" xfId="0" applyFont="1" applyFill="1" applyBorder="1" applyAlignment="1">
      <alignment horizontal="left" vertical="center"/>
    </xf>
    <xf numFmtId="0" fontId="27" fillId="6" borderId="20" xfId="0" applyFont="1" applyFill="1" applyBorder="1" applyAlignment="1">
      <alignment vertical="center"/>
    </xf>
    <xf numFmtId="0" fontId="27" fillId="6" borderId="22" xfId="0" applyFont="1" applyFill="1" applyBorder="1" applyAlignment="1">
      <alignment vertical="center"/>
    </xf>
    <xf numFmtId="0" fontId="28" fillId="0" borderId="1" xfId="0" applyFont="1" applyFill="1" applyBorder="1" applyAlignment="1">
      <alignment horizontal="center" vertical="center" wrapText="1"/>
    </xf>
    <xf numFmtId="0" fontId="24" fillId="3" borderId="3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 wrapText="1"/>
    </xf>
    <xf numFmtId="0" fontId="27" fillId="2" borderId="1" xfId="0" applyFont="1" applyFill="1" applyBorder="1" applyAlignment="1">
      <alignment horizontal="center" vertical="center"/>
    </xf>
    <xf numFmtId="0" fontId="27" fillId="5" borderId="3" xfId="0" applyFont="1" applyFill="1" applyBorder="1" applyAlignment="1">
      <alignment horizontal="center" vertical="center" wrapText="1"/>
    </xf>
    <xf numFmtId="0" fontId="21" fillId="6" borderId="6" xfId="0" applyFont="1" applyFill="1" applyBorder="1" applyAlignment="1">
      <alignment vertical="center"/>
    </xf>
    <xf numFmtId="0" fontId="24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14" fontId="21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27" fillId="0" borderId="1" xfId="0" applyFont="1" applyFill="1" applyBorder="1" applyAlignment="1">
      <alignment horizontal="left" vertical="center" wrapText="1"/>
    </xf>
    <xf numFmtId="0" fontId="26" fillId="2" borderId="8" xfId="0" applyFont="1" applyFill="1" applyBorder="1" applyAlignment="1">
      <alignment vertical="center" wrapText="1"/>
    </xf>
    <xf numFmtId="0" fontId="21" fillId="2" borderId="1" xfId="0" applyFont="1" applyFill="1" applyBorder="1" applyAlignment="1">
      <alignment horizontal="center" vertical="center"/>
    </xf>
    <xf numFmtId="0" fontId="21" fillId="2" borderId="3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 wrapText="1"/>
    </xf>
    <xf numFmtId="0" fontId="24" fillId="0" borderId="3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center" vertical="center"/>
    </xf>
    <xf numFmtId="0" fontId="32" fillId="0" borderId="0" xfId="0" applyFont="1" applyFill="1" applyBorder="1" applyAlignment="1">
      <alignment vertical="center"/>
    </xf>
    <xf numFmtId="0" fontId="42" fillId="0" borderId="0" xfId="0" applyFont="1" applyFill="1" applyAlignment="1">
      <alignment horizontal="center" vertical="center" wrapText="1"/>
    </xf>
    <xf numFmtId="0" fontId="43" fillId="0" borderId="0" xfId="0" applyFont="1" applyFill="1" applyAlignment="1">
      <alignment horizontal="center" vertical="center" wrapText="1"/>
    </xf>
    <xf numFmtId="0" fontId="37" fillId="0" borderId="1" xfId="0" applyFont="1" applyBorder="1" applyAlignment="1">
      <alignment horizontal="center" vertical="center"/>
    </xf>
    <xf numFmtId="0" fontId="28" fillId="0" borderId="1" xfId="3" applyFont="1" applyFill="1" applyBorder="1" applyAlignment="1">
      <alignment vertical="center" wrapText="1"/>
    </xf>
    <xf numFmtId="0" fontId="41" fillId="8" borderId="2" xfId="0" applyFont="1" applyFill="1" applyBorder="1" applyAlignment="1">
      <alignment horizontal="center" vertical="center" textRotation="90" wrapText="1"/>
    </xf>
    <xf numFmtId="0" fontId="27" fillId="8" borderId="1" xfId="0" applyFont="1" applyFill="1" applyBorder="1" applyAlignment="1">
      <alignment horizontal="center" vertical="center" wrapText="1"/>
    </xf>
    <xf numFmtId="0" fontId="41" fillId="9" borderId="2" xfId="0" applyFont="1" applyFill="1" applyBorder="1" applyAlignment="1">
      <alignment horizontal="center" vertical="center" textRotation="90" wrapText="1"/>
    </xf>
    <xf numFmtId="0" fontId="27" fillId="9" borderId="1" xfId="0" applyFont="1" applyFill="1" applyBorder="1" applyAlignment="1">
      <alignment horizontal="center" vertical="center" wrapText="1"/>
    </xf>
    <xf numFmtId="0" fontId="27" fillId="9" borderId="1" xfId="0" applyNumberFormat="1" applyFont="1" applyFill="1" applyBorder="1" applyAlignment="1">
      <alignment horizontal="center" vertical="center" wrapText="1"/>
    </xf>
    <xf numFmtId="0" fontId="27" fillId="9" borderId="4" xfId="0" applyFont="1" applyFill="1" applyBorder="1" applyAlignment="1">
      <alignment vertical="center" wrapText="1"/>
    </xf>
    <xf numFmtId="0" fontId="27" fillId="9" borderId="1" xfId="0" applyFont="1" applyFill="1" applyBorder="1" applyAlignment="1">
      <alignment vertical="center" wrapText="1"/>
    </xf>
    <xf numFmtId="0" fontId="23" fillId="0" borderId="0" xfId="0" applyFont="1" applyFill="1" applyBorder="1" applyAlignment="1">
      <alignment horizontal="left" vertical="center"/>
    </xf>
    <xf numFmtId="0" fontId="33" fillId="0" borderId="0" xfId="0" applyFont="1" applyFill="1" applyBorder="1" applyAlignment="1">
      <alignment horizontal="left" vertical="center" wrapText="1"/>
    </xf>
    <xf numFmtId="0" fontId="44" fillId="0" borderId="0" xfId="0" applyFont="1" applyAlignment="1">
      <alignment horizontal="left" wrapText="1"/>
    </xf>
    <xf numFmtId="0" fontId="24" fillId="6" borderId="12" xfId="0" applyFont="1" applyFill="1" applyBorder="1" applyAlignment="1">
      <alignment horizontal="left" vertical="center"/>
    </xf>
    <xf numFmtId="0" fontId="23" fillId="0" borderId="0" xfId="0" applyFont="1" applyAlignment="1">
      <alignment horizontal="left"/>
    </xf>
    <xf numFmtId="0" fontId="31" fillId="0" borderId="0" xfId="0" applyFont="1" applyAlignment="1">
      <alignment horizontal="left"/>
    </xf>
    <xf numFmtId="0" fontId="31" fillId="2" borderId="0" xfId="0" applyFont="1" applyFill="1" applyAlignment="1">
      <alignment horizontal="left"/>
    </xf>
    <xf numFmtId="0" fontId="32" fillId="0" borderId="0" xfId="0" applyFont="1" applyAlignment="1">
      <alignment horizontal="left"/>
    </xf>
    <xf numFmtId="0" fontId="21" fillId="0" borderId="0" xfId="0" applyFont="1" applyAlignment="1">
      <alignment horizontal="left"/>
    </xf>
    <xf numFmtId="1" fontId="21" fillId="0" borderId="1" xfId="0" applyNumberFormat="1" applyFont="1" applyFill="1" applyBorder="1" applyAlignment="1">
      <alignment horizontal="center" vertical="center"/>
    </xf>
    <xf numFmtId="164" fontId="50" fillId="0" borderId="1" xfId="0" applyNumberFormat="1" applyFont="1" applyFill="1" applyBorder="1" applyAlignment="1">
      <alignment horizontal="center" vertical="center"/>
    </xf>
    <xf numFmtId="0" fontId="33" fillId="0" borderId="0" xfId="0" applyFont="1" applyAlignment="1">
      <alignment vertical="center"/>
    </xf>
    <xf numFmtId="0" fontId="34" fillId="9" borderId="1" xfId="0" applyFont="1" applyFill="1" applyBorder="1" applyAlignment="1">
      <alignment horizontal="center" vertical="center" textRotation="90" wrapText="1"/>
    </xf>
    <xf numFmtId="0" fontId="0" fillId="9" borderId="1" xfId="0" applyFill="1" applyBorder="1" applyAlignment="1">
      <alignment horizontal="center"/>
    </xf>
    <xf numFmtId="0" fontId="27" fillId="9" borderId="1" xfId="0" applyFont="1" applyFill="1" applyBorder="1" applyAlignment="1">
      <alignment horizontal="center" vertical="center"/>
    </xf>
    <xf numFmtId="0" fontId="27" fillId="9" borderId="1" xfId="0" applyFont="1" applyFill="1" applyBorder="1" applyAlignment="1">
      <alignment vertical="center"/>
    </xf>
    <xf numFmtId="0" fontId="28" fillId="9" borderId="1" xfId="0" applyFont="1" applyFill="1" applyBorder="1" applyAlignment="1">
      <alignment horizontal="center" vertical="center" wrapText="1"/>
    </xf>
    <xf numFmtId="0" fontId="34" fillId="8" borderId="1" xfId="0" applyFont="1" applyFill="1" applyBorder="1" applyAlignment="1">
      <alignment horizontal="center" vertical="center" textRotation="90" wrapText="1"/>
    </xf>
    <xf numFmtId="0" fontId="27" fillId="8" borderId="1" xfId="0" applyFont="1" applyFill="1" applyBorder="1" applyAlignment="1">
      <alignment horizontal="center" vertical="center"/>
    </xf>
    <xf numFmtId="0" fontId="28" fillId="8" borderId="1" xfId="0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center" vertical="center" wrapText="1"/>
    </xf>
    <xf numFmtId="0" fontId="51" fillId="9" borderId="1" xfId="0" applyFont="1" applyFill="1" applyBorder="1" applyAlignment="1">
      <alignment horizontal="center" vertical="center" wrapText="1"/>
    </xf>
    <xf numFmtId="0" fontId="52" fillId="5" borderId="1" xfId="0" applyFont="1" applyFill="1" applyBorder="1" applyAlignment="1">
      <alignment horizontal="center" vertical="center" wrapText="1"/>
    </xf>
    <xf numFmtId="0" fontId="51" fillId="8" borderId="1" xfId="0" applyFont="1" applyFill="1" applyBorder="1" applyAlignment="1">
      <alignment horizontal="center" vertical="center" wrapText="1"/>
    </xf>
    <xf numFmtId="0" fontId="23" fillId="0" borderId="0" xfId="0" applyFont="1" applyAlignment="1">
      <alignment vertical="top" wrapText="1"/>
    </xf>
    <xf numFmtId="49" fontId="21" fillId="0" borderId="1" xfId="0" applyNumberFormat="1" applyFont="1" applyFill="1" applyBorder="1" applyAlignment="1">
      <alignment horizontal="center" vertical="center"/>
    </xf>
    <xf numFmtId="49" fontId="21" fillId="0" borderId="4" xfId="0" applyNumberFormat="1" applyFont="1" applyFill="1" applyBorder="1" applyAlignment="1">
      <alignment horizontal="center" vertical="center" wrapText="1"/>
    </xf>
    <xf numFmtId="49" fontId="21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49" fontId="50" fillId="0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/>
    </xf>
    <xf numFmtId="49" fontId="21" fillId="0" borderId="0" xfId="0" applyNumberFormat="1" applyFont="1" applyAlignment="1">
      <alignment horizontal="center"/>
    </xf>
    <xf numFmtId="0" fontId="34" fillId="9" borderId="3" xfId="0" applyFont="1" applyFill="1" applyBorder="1" applyAlignment="1">
      <alignment horizontal="center" vertical="center" textRotation="90" wrapText="1"/>
    </xf>
    <xf numFmtId="0" fontId="39" fillId="9" borderId="1" xfId="0" applyFont="1" applyFill="1" applyBorder="1" applyAlignment="1">
      <alignment horizontal="center" vertical="center" wrapText="1"/>
    </xf>
    <xf numFmtId="0" fontId="34" fillId="8" borderId="3" xfId="0" applyFont="1" applyFill="1" applyBorder="1" applyAlignment="1">
      <alignment horizontal="center" vertical="center" textRotation="90" wrapText="1"/>
    </xf>
    <xf numFmtId="0" fontId="28" fillId="2" borderId="8" xfId="3" applyFont="1" applyFill="1" applyBorder="1" applyAlignment="1">
      <alignment vertical="center" wrapText="1"/>
    </xf>
    <xf numFmtId="0" fontId="53" fillId="0" borderId="1" xfId="0" applyFont="1" applyFill="1" applyBorder="1" applyAlignment="1">
      <alignment vertical="center" wrapText="1"/>
    </xf>
    <xf numFmtId="0" fontId="28" fillId="2" borderId="1" xfId="3" applyFont="1" applyFill="1" applyBorder="1" applyAlignment="1">
      <alignment horizontal="left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25" fillId="0" borderId="3" xfId="0" applyFont="1" applyFill="1" applyBorder="1" applyAlignment="1">
      <alignment horizontal="center" vertical="center" wrapText="1"/>
    </xf>
    <xf numFmtId="0" fontId="25" fillId="0" borderId="4" xfId="0" applyFont="1" applyFill="1" applyBorder="1" applyAlignment="1">
      <alignment horizontal="center" vertical="center" wrapText="1"/>
    </xf>
    <xf numFmtId="0" fontId="28" fillId="5" borderId="1" xfId="0" applyFont="1" applyFill="1" applyBorder="1" applyAlignment="1">
      <alignment horizontal="center" vertical="center" wrapText="1"/>
    </xf>
    <xf numFmtId="0" fontId="54" fillId="9" borderId="1" xfId="0" applyFont="1" applyFill="1" applyBorder="1" applyAlignment="1">
      <alignment horizontal="center" vertical="center" wrapText="1"/>
    </xf>
    <xf numFmtId="0" fontId="54" fillId="5" borderId="1" xfId="0" applyFont="1" applyFill="1" applyBorder="1" applyAlignment="1">
      <alignment horizontal="center" vertical="center" wrapText="1"/>
    </xf>
    <xf numFmtId="0" fontId="55" fillId="9" borderId="1" xfId="0" applyFont="1" applyFill="1" applyBorder="1" applyAlignment="1">
      <alignment horizontal="center"/>
    </xf>
    <xf numFmtId="0" fontId="54" fillId="8" borderId="1" xfId="0" applyFont="1" applyFill="1" applyBorder="1" applyAlignment="1">
      <alignment horizontal="center" vertical="center" wrapText="1"/>
    </xf>
    <xf numFmtId="0" fontId="54" fillId="9" borderId="1" xfId="0" applyFont="1" applyFill="1" applyBorder="1" applyAlignment="1">
      <alignment horizontal="center" vertical="center"/>
    </xf>
    <xf numFmtId="0" fontId="54" fillId="8" borderId="1" xfId="0" applyFont="1" applyFill="1" applyBorder="1" applyAlignment="1">
      <alignment horizontal="center" vertical="center"/>
    </xf>
    <xf numFmtId="0" fontId="56" fillId="3" borderId="17" xfId="0" applyFont="1" applyFill="1" applyBorder="1" applyAlignment="1">
      <alignment horizontal="center" vertical="center"/>
    </xf>
    <xf numFmtId="0" fontId="54" fillId="5" borderId="3" xfId="0" applyFont="1" applyFill="1" applyBorder="1" applyAlignment="1">
      <alignment horizontal="center" vertical="center" wrapText="1"/>
    </xf>
    <xf numFmtId="0" fontId="54" fillId="6" borderId="6" xfId="0" applyFont="1" applyFill="1" applyBorder="1" applyAlignment="1">
      <alignment vertical="center"/>
    </xf>
    <xf numFmtId="0" fontId="55" fillId="0" borderId="0" xfId="0" applyFont="1"/>
    <xf numFmtId="0" fontId="56" fillId="5" borderId="1" xfId="0" applyFont="1" applyFill="1" applyBorder="1" applyAlignment="1">
      <alignment horizontal="center" vertical="center" wrapText="1"/>
    </xf>
    <xf numFmtId="0" fontId="56" fillId="3" borderId="3" xfId="0" applyFont="1" applyFill="1" applyBorder="1" applyAlignment="1">
      <alignment horizontal="center" vertical="center"/>
    </xf>
    <xf numFmtId="16" fontId="21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21" fillId="0" borderId="1" xfId="0" applyFont="1" applyFill="1" applyBorder="1" applyAlignment="1">
      <alignment horizontal="center" vertical="center" wrapText="1"/>
    </xf>
    <xf numFmtId="164" fontId="6" fillId="0" borderId="4" xfId="0" applyNumberFormat="1" applyFont="1" applyFill="1" applyBorder="1" applyAlignment="1">
      <alignment horizontal="center" vertical="center"/>
    </xf>
    <xf numFmtId="14" fontId="6" fillId="0" borderId="4" xfId="0" applyNumberFormat="1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27" fillId="9" borderId="4" xfId="0" applyFont="1" applyFill="1" applyBorder="1" applyAlignment="1">
      <alignment horizontal="center" vertical="center" wrapText="1"/>
    </xf>
    <xf numFmtId="0" fontId="27" fillId="8" borderId="4" xfId="0" applyFont="1" applyFill="1" applyBorder="1" applyAlignment="1">
      <alignment horizontal="center" vertical="center" wrapText="1"/>
    </xf>
    <xf numFmtId="0" fontId="54" fillId="8" borderId="4" xfId="0" applyFont="1" applyFill="1" applyBorder="1" applyAlignment="1">
      <alignment horizontal="center" vertical="center" wrapText="1"/>
    </xf>
    <xf numFmtId="0" fontId="27" fillId="0" borderId="4" xfId="0" applyFont="1" applyFill="1" applyBorder="1" applyAlignment="1">
      <alignment horizontal="center" vertical="center" wrapText="1"/>
    </xf>
    <xf numFmtId="0" fontId="24" fillId="2" borderId="0" xfId="0" applyFont="1" applyFill="1" applyBorder="1" applyAlignment="1">
      <alignment vertical="center"/>
    </xf>
    <xf numFmtId="0" fontId="24" fillId="10" borderId="6" xfId="0" applyFont="1" applyFill="1" applyBorder="1" applyAlignment="1">
      <alignment vertical="center"/>
    </xf>
    <xf numFmtId="0" fontId="24" fillId="10" borderId="8" xfId="0" applyFont="1" applyFill="1" applyBorder="1" applyAlignment="1">
      <alignment vertical="center"/>
    </xf>
    <xf numFmtId="0" fontId="24" fillId="10" borderId="5" xfId="0" applyFont="1" applyFill="1" applyBorder="1" applyAlignment="1">
      <alignment vertical="center"/>
    </xf>
    <xf numFmtId="0" fontId="54" fillId="9" borderId="4" xfId="0" applyFont="1" applyFill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164" fontId="6" fillId="0" borderId="4" xfId="0" applyNumberFormat="1" applyFont="1" applyFill="1" applyBorder="1" applyAlignment="1">
      <alignment horizontal="center" vertical="center" wrapText="1"/>
    </xf>
    <xf numFmtId="0" fontId="57" fillId="0" borderId="1" xfId="0" applyFont="1" applyFill="1" applyBorder="1" applyAlignment="1">
      <alignment vertical="center" wrapText="1"/>
    </xf>
    <xf numFmtId="0" fontId="5" fillId="0" borderId="3" xfId="0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 wrapText="1"/>
    </xf>
    <xf numFmtId="0" fontId="5" fillId="0" borderId="3" xfId="0" applyFont="1" applyFill="1" applyBorder="1" applyAlignment="1">
      <alignment vertical="center" wrapText="1"/>
    </xf>
    <xf numFmtId="164" fontId="5" fillId="0" borderId="3" xfId="0" applyNumberFormat="1" applyFont="1" applyFill="1" applyBorder="1" applyAlignment="1">
      <alignment vertical="center"/>
    </xf>
    <xf numFmtId="0" fontId="25" fillId="0" borderId="0" xfId="0" applyFont="1" applyFill="1" applyBorder="1" applyAlignment="1">
      <alignment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5" fillId="10" borderId="6" xfId="0" applyFont="1" applyFill="1" applyBorder="1" applyAlignment="1">
      <alignment vertical="center"/>
    </xf>
    <xf numFmtId="0" fontId="59" fillId="0" borderId="1" xfId="3" applyFont="1" applyFill="1" applyBorder="1" applyAlignment="1">
      <alignment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5" fillId="5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5" borderId="1" xfId="0" applyFill="1" applyBorder="1" applyAlignment="1">
      <alignment horizontal="center" vertical="center"/>
    </xf>
    <xf numFmtId="0" fontId="58" fillId="0" borderId="1" xfId="1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0" fillId="5" borderId="5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49" fontId="0" fillId="0" borderId="0" xfId="0" applyNumberFormat="1" applyAlignment="1">
      <alignment vertical="center"/>
    </xf>
    <xf numFmtId="49" fontId="5" fillId="0" borderId="3" xfId="0" applyNumberFormat="1" applyFont="1" applyFill="1" applyBorder="1" applyAlignment="1">
      <alignment horizontal="center" vertical="center" wrapText="1"/>
    </xf>
    <xf numFmtId="0" fontId="0" fillId="5" borderId="3" xfId="0" applyFill="1" applyBorder="1" applyAlignment="1">
      <alignment horizontal="center" vertical="center"/>
    </xf>
    <xf numFmtId="0" fontId="57" fillId="0" borderId="4" xfId="0" applyFont="1" applyFill="1" applyBorder="1" applyAlignment="1">
      <alignment vertical="center" wrapText="1"/>
    </xf>
    <xf numFmtId="49" fontId="5" fillId="0" borderId="4" xfId="0" applyNumberFormat="1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9" fillId="0" borderId="4" xfId="0" applyFont="1" applyFill="1" applyBorder="1" applyAlignment="1">
      <alignment vertical="center" wrapText="1"/>
    </xf>
    <xf numFmtId="0" fontId="0" fillId="0" borderId="0" xfId="0" applyBorder="1" applyAlignment="1">
      <alignment vertical="center"/>
    </xf>
    <xf numFmtId="49" fontId="5" fillId="10" borderId="6" xfId="0" applyNumberFormat="1" applyFont="1" applyFill="1" applyBorder="1" applyAlignment="1">
      <alignment vertical="center"/>
    </xf>
    <xf numFmtId="0" fontId="0" fillId="10" borderId="6" xfId="0" applyFill="1" applyBorder="1" applyAlignment="1">
      <alignment horizontal="center" vertical="center"/>
    </xf>
    <xf numFmtId="0" fontId="25" fillId="10" borderId="6" xfId="0" applyFont="1" applyFill="1" applyBorder="1" applyAlignment="1">
      <alignment horizontal="center" vertical="center" wrapText="1"/>
    </xf>
    <xf numFmtId="0" fontId="0" fillId="0" borderId="4" xfId="0" applyBorder="1" applyAlignment="1">
      <alignment vertical="center"/>
    </xf>
    <xf numFmtId="0" fontId="24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34" fillId="0" borderId="4" xfId="0" applyFont="1" applyFill="1" applyBorder="1" applyAlignment="1">
      <alignment horizontal="center" vertical="center" wrapText="1"/>
    </xf>
    <xf numFmtId="0" fontId="34" fillId="0" borderId="1" xfId="0" applyFont="1" applyFill="1" applyBorder="1" applyAlignment="1">
      <alignment horizontal="center" vertical="center" wrapText="1"/>
    </xf>
    <xf numFmtId="49" fontId="21" fillId="0" borderId="9" xfId="0" applyNumberFormat="1" applyFont="1" applyFill="1" applyBorder="1" applyAlignment="1">
      <alignment horizontal="center" vertical="center"/>
    </xf>
    <xf numFmtId="0" fontId="34" fillId="2" borderId="1" xfId="0" applyFont="1" applyFill="1" applyBorder="1" applyAlignment="1">
      <alignment horizontal="center" vertical="center" textRotation="90" wrapText="1"/>
    </xf>
    <xf numFmtId="0" fontId="61" fillId="0" borderId="0" xfId="0" applyFont="1" applyAlignment="1">
      <alignment vertical="center"/>
    </xf>
    <xf numFmtId="0" fontId="0" fillId="0" borderId="1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30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5" xfId="0" applyBorder="1" applyAlignment="1">
      <alignment vertical="center"/>
    </xf>
    <xf numFmtId="49" fontId="0" fillId="0" borderId="1" xfId="0" applyNumberFormat="1" applyBorder="1" applyAlignment="1">
      <alignment vertical="center"/>
    </xf>
    <xf numFmtId="49" fontId="0" fillId="0" borderId="5" xfId="0" applyNumberFormat="1" applyBorder="1" applyAlignment="1">
      <alignment vertical="center"/>
    </xf>
    <xf numFmtId="49" fontId="0" fillId="0" borderId="30" xfId="0" applyNumberForma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0" fillId="0" borderId="31" xfId="0" applyNumberFormat="1" applyBorder="1" applyAlignment="1">
      <alignment horizontal="center" vertical="center"/>
    </xf>
    <xf numFmtId="49" fontId="0" fillId="0" borderId="8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27" fillId="5" borderId="32" xfId="0" applyFont="1" applyFill="1" applyBorder="1" applyAlignment="1">
      <alignment horizontal="center" vertical="center" wrapText="1"/>
    </xf>
    <xf numFmtId="0" fontId="24" fillId="0" borderId="3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top"/>
    </xf>
    <xf numFmtId="49" fontId="6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Border="1" applyAlignment="1">
      <alignment vertical="center" wrapText="1"/>
    </xf>
    <xf numFmtId="49" fontId="0" fillId="0" borderId="5" xfId="0" applyNumberFormat="1" applyBorder="1" applyAlignment="1">
      <alignment horizontal="center" vertical="center"/>
    </xf>
    <xf numFmtId="0" fontId="9" fillId="0" borderId="0" xfId="0" applyFont="1" applyBorder="1" applyAlignment="1">
      <alignment horizontal="right" vertical="center" textRotation="90"/>
    </xf>
    <xf numFmtId="0" fontId="28" fillId="0" borderId="5" xfId="0" applyFont="1" applyFill="1" applyBorder="1" applyAlignment="1">
      <alignment vertical="center" wrapText="1"/>
    </xf>
    <xf numFmtId="0" fontId="28" fillId="0" borderId="21" xfId="0" applyFont="1" applyFill="1" applyBorder="1" applyAlignment="1">
      <alignment vertical="center" wrapText="1"/>
    </xf>
    <xf numFmtId="0" fontId="9" fillId="0" borderId="1" xfId="0" applyFont="1" applyBorder="1" applyAlignment="1">
      <alignment horizontal="right" vertical="center" textRotation="90"/>
    </xf>
    <xf numFmtId="0" fontId="9" fillId="0" borderId="0" xfId="0" applyFont="1" applyFill="1" applyBorder="1" applyAlignment="1">
      <alignment horizontal="right" vertical="center" textRotation="90"/>
    </xf>
    <xf numFmtId="0" fontId="9" fillId="0" borderId="1" xfId="0" applyFont="1" applyBorder="1" applyAlignment="1">
      <alignment vertical="center" textRotation="90"/>
    </xf>
    <xf numFmtId="0" fontId="5" fillId="10" borderId="6" xfId="0" applyFont="1" applyFill="1" applyBorder="1" applyAlignment="1">
      <alignment horizontal="left" vertical="center"/>
    </xf>
    <xf numFmtId="0" fontId="5" fillId="5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49" fontId="25" fillId="0" borderId="0" xfId="0" applyNumberFormat="1" applyFont="1" applyFill="1" applyBorder="1" applyAlignment="1">
      <alignment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14" fontId="0" fillId="0" borderId="5" xfId="0" applyNumberFormat="1" applyBorder="1" applyAlignment="1">
      <alignment vertical="center"/>
    </xf>
    <xf numFmtId="0" fontId="49" fillId="0" borderId="0" xfId="0" applyFont="1" applyFill="1" applyBorder="1" applyAlignment="1">
      <alignment vertical="center"/>
    </xf>
    <xf numFmtId="0" fontId="48" fillId="0" borderId="0" xfId="0" applyFont="1" applyFill="1" applyBorder="1" applyAlignment="1">
      <alignment vertical="center"/>
    </xf>
    <xf numFmtId="0" fontId="37" fillId="0" borderId="0" xfId="0" applyFont="1" applyFill="1" applyBorder="1" applyAlignment="1">
      <alignment horizontal="left" vertical="center"/>
    </xf>
    <xf numFmtId="0" fontId="37" fillId="0" borderId="0" xfId="0" applyFont="1"/>
    <xf numFmtId="0" fontId="37" fillId="0" borderId="0" xfId="0" applyFont="1" applyFill="1" applyBorder="1" applyAlignment="1">
      <alignment vertical="center"/>
    </xf>
    <xf numFmtId="0" fontId="27" fillId="0" borderId="0" xfId="0" applyFont="1" applyFill="1" applyBorder="1" applyAlignment="1">
      <alignment vertical="center"/>
    </xf>
    <xf numFmtId="0" fontId="27" fillId="0" borderId="0" xfId="0" applyFont="1" applyFill="1" applyBorder="1" applyAlignment="1">
      <alignment horizontal="left" vertical="center" wrapText="1"/>
    </xf>
    <xf numFmtId="0" fontId="37" fillId="0" borderId="0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25" fillId="10" borderId="8" xfId="0" applyFont="1" applyFill="1" applyBorder="1" applyAlignment="1">
      <alignment horizontal="center" vertical="center" wrapText="1"/>
    </xf>
    <xf numFmtId="0" fontId="5" fillId="10" borderId="5" xfId="0" applyFont="1" applyFill="1" applyBorder="1" applyAlignment="1">
      <alignment vertical="center"/>
    </xf>
    <xf numFmtId="0" fontId="9" fillId="3" borderId="1" xfId="0" applyFont="1" applyFill="1" applyBorder="1" applyAlignment="1">
      <alignment horizontal="center" vertical="center"/>
    </xf>
    <xf numFmtId="49" fontId="0" fillId="0" borderId="33" xfId="0" applyNumberFormat="1" applyBorder="1" applyAlignment="1">
      <alignment horizontal="center" vertical="center"/>
    </xf>
    <xf numFmtId="49" fontId="0" fillId="0" borderId="14" xfId="0" applyNumberFormat="1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49" fontId="0" fillId="0" borderId="32" xfId="0" applyNumberFormat="1" applyBorder="1" applyAlignment="1">
      <alignment vertical="center"/>
    </xf>
    <xf numFmtId="49" fontId="0" fillId="0" borderId="11" xfId="0" applyNumberFormat="1" applyBorder="1" applyAlignment="1">
      <alignment vertical="center"/>
    </xf>
    <xf numFmtId="49" fontId="0" fillId="0" borderId="34" xfId="0" applyNumberFormat="1" applyBorder="1" applyAlignment="1">
      <alignment horizontal="center" vertical="center"/>
    </xf>
    <xf numFmtId="49" fontId="4" fillId="0" borderId="32" xfId="0" applyNumberFormat="1" applyFont="1" applyBorder="1" applyAlignment="1">
      <alignment horizontal="center" vertical="center"/>
    </xf>
    <xf numFmtId="49" fontId="0" fillId="0" borderId="35" xfId="0" applyNumberFormat="1" applyBorder="1" applyAlignment="1">
      <alignment horizontal="center" vertical="center"/>
    </xf>
    <xf numFmtId="49" fontId="0" fillId="0" borderId="13" xfId="0" applyNumberFormat="1" applyBorder="1" applyAlignment="1">
      <alignment horizontal="center" vertical="center"/>
    </xf>
    <xf numFmtId="49" fontId="0" fillId="0" borderId="32" xfId="0" applyNumberFormat="1" applyBorder="1" applyAlignment="1">
      <alignment horizontal="center" vertical="center"/>
    </xf>
    <xf numFmtId="49" fontId="0" fillId="0" borderId="11" xfId="0" applyNumberFormat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14" fontId="64" fillId="0" borderId="4" xfId="0" applyNumberFormat="1" applyFont="1" applyFill="1" applyBorder="1" applyAlignment="1">
      <alignment horizontal="left" vertical="center" wrapText="1"/>
    </xf>
    <xf numFmtId="49" fontId="65" fillId="0" borderId="4" xfId="0" applyNumberFormat="1" applyFont="1" applyFill="1" applyBorder="1" applyAlignment="1">
      <alignment horizontal="center" vertical="center" wrapText="1"/>
    </xf>
    <xf numFmtId="0" fontId="66" fillId="0" borderId="4" xfId="0" applyFont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right" vertical="center" textRotation="90"/>
    </xf>
    <xf numFmtId="0" fontId="25" fillId="0" borderId="3" xfId="0" applyFont="1" applyFill="1" applyBorder="1" applyAlignment="1">
      <alignment horizontal="center" vertical="center" wrapText="1"/>
    </xf>
    <xf numFmtId="0" fontId="25" fillId="0" borderId="9" xfId="0" applyFont="1" applyFill="1" applyBorder="1" applyAlignment="1">
      <alignment horizontal="center" vertical="center" wrapText="1"/>
    </xf>
    <xf numFmtId="0" fontId="25" fillId="0" borderId="4" xfId="0" applyFont="1" applyFill="1" applyBorder="1" applyAlignment="1">
      <alignment horizontal="center" vertical="center" wrapText="1"/>
    </xf>
    <xf numFmtId="0" fontId="5" fillId="10" borderId="6" xfId="0" applyFont="1" applyFill="1" applyBorder="1" applyAlignment="1">
      <alignment horizontal="left" vertical="center"/>
    </xf>
    <xf numFmtId="164" fontId="6" fillId="0" borderId="4" xfId="0" applyNumberFormat="1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 wrapText="1"/>
    </xf>
    <xf numFmtId="49" fontId="21" fillId="0" borderId="0" xfId="0" applyNumberFormat="1" applyFont="1" applyFill="1" applyBorder="1" applyAlignment="1">
      <alignment horizontal="center" vertical="center"/>
    </xf>
    <xf numFmtId="0" fontId="28" fillId="0" borderId="0" xfId="3" applyFont="1" applyFill="1" applyBorder="1" applyAlignment="1">
      <alignment vertical="center" wrapText="1"/>
    </xf>
    <xf numFmtId="14" fontId="21" fillId="0" borderId="0" xfId="0" applyNumberFormat="1" applyFont="1" applyFill="1" applyBorder="1" applyAlignment="1">
      <alignment horizontal="left" vertical="center" wrapText="1"/>
    </xf>
    <xf numFmtId="0" fontId="24" fillId="0" borderId="0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vertical="center" wrapText="1"/>
    </xf>
    <xf numFmtId="0" fontId="28" fillId="9" borderId="0" xfId="0" applyFont="1" applyFill="1" applyBorder="1" applyAlignment="1">
      <alignment horizontal="center" vertical="center" wrapText="1"/>
    </xf>
    <xf numFmtId="0" fontId="54" fillId="9" borderId="0" xfId="0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horizontal="center" vertical="center" wrapText="1"/>
    </xf>
    <xf numFmtId="0" fontId="54" fillId="0" borderId="0" xfId="0" applyFont="1" applyFill="1" applyBorder="1" applyAlignment="1">
      <alignment horizontal="center" vertical="center" wrapText="1"/>
    </xf>
    <xf numFmtId="14" fontId="21" fillId="0" borderId="5" xfId="0" applyNumberFormat="1" applyFont="1" applyFill="1" applyBorder="1" applyAlignment="1">
      <alignment horizontal="left" vertical="center" wrapText="1"/>
    </xf>
    <xf numFmtId="0" fontId="64" fillId="0" borderId="1" xfId="3" applyFont="1" applyFill="1" applyBorder="1" applyAlignment="1">
      <alignment vertical="center" wrapText="1"/>
    </xf>
    <xf numFmtId="0" fontId="34" fillId="0" borderId="21" xfId="0" applyFont="1" applyFill="1" applyBorder="1" applyAlignment="1">
      <alignment horizontal="center" vertical="center" wrapText="1"/>
    </xf>
    <xf numFmtId="0" fontId="34" fillId="0" borderId="5" xfId="0" applyFont="1" applyFill="1" applyBorder="1" applyAlignment="1">
      <alignment horizontal="center" vertical="center" wrapText="1"/>
    </xf>
    <xf numFmtId="0" fontId="0" fillId="5" borderId="7" xfId="0" applyFill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66" fillId="0" borderId="21" xfId="0" applyFont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67" fillId="0" borderId="1" xfId="0" applyFont="1" applyBorder="1" applyAlignment="1">
      <alignment horizontal="center" wrapText="1"/>
    </xf>
    <xf numFmtId="0" fontId="39" fillId="8" borderId="1" xfId="0" applyFont="1" applyFill="1" applyBorder="1" applyAlignment="1">
      <alignment horizontal="center" vertical="center" wrapText="1"/>
    </xf>
    <xf numFmtId="0" fontId="0" fillId="6" borderId="0" xfId="0" applyFill="1"/>
    <xf numFmtId="0" fontId="19" fillId="2" borderId="0" xfId="0" applyFont="1" applyFill="1"/>
    <xf numFmtId="164" fontId="21" fillId="0" borderId="1" xfId="0" applyNumberFormat="1" applyFont="1" applyBorder="1" applyAlignment="1">
      <alignment horizontal="center"/>
    </xf>
    <xf numFmtId="0" fontId="21" fillId="0" borderId="1" xfId="0" applyFont="1" applyBorder="1" applyAlignment="1">
      <alignment horizontal="left"/>
    </xf>
    <xf numFmtId="0" fontId="21" fillId="0" borderId="1" xfId="0" applyFont="1" applyBorder="1"/>
    <xf numFmtId="0" fontId="21" fillId="11" borderId="1" xfId="0" applyFont="1" applyFill="1" applyBorder="1"/>
    <xf numFmtId="0" fontId="21" fillId="12" borderId="1" xfId="0" applyFont="1" applyFill="1" applyBorder="1"/>
    <xf numFmtId="0" fontId="68" fillId="0" borderId="1" xfId="0" applyFont="1" applyFill="1" applyBorder="1" applyAlignment="1">
      <alignment horizontal="center" vertical="center" wrapText="1"/>
    </xf>
    <xf numFmtId="0" fontId="69" fillId="0" borderId="1" xfId="0" applyFont="1" applyFill="1" applyBorder="1" applyAlignment="1">
      <alignment horizontal="center" vertical="center" wrapText="1"/>
    </xf>
    <xf numFmtId="0" fontId="24" fillId="6" borderId="7" xfId="0" applyFont="1" applyFill="1" applyBorder="1" applyAlignment="1">
      <alignment vertical="center"/>
    </xf>
    <xf numFmtId="0" fontId="24" fillId="6" borderId="29" xfId="0" applyFont="1" applyFill="1" applyBorder="1" applyAlignment="1">
      <alignment vertical="center"/>
    </xf>
    <xf numFmtId="0" fontId="24" fillId="6" borderId="29" xfId="0" applyFont="1" applyFill="1" applyBorder="1" applyAlignment="1">
      <alignment horizontal="left" vertical="center"/>
    </xf>
    <xf numFmtId="0" fontId="27" fillId="6" borderId="29" xfId="0" applyFont="1" applyFill="1" applyBorder="1" applyAlignment="1">
      <alignment vertical="center"/>
    </xf>
    <xf numFmtId="0" fontId="27" fillId="6" borderId="14" xfId="0" applyFont="1" applyFill="1" applyBorder="1" applyAlignment="1">
      <alignment vertical="center"/>
    </xf>
    <xf numFmtId="0" fontId="0" fillId="5" borderId="1" xfId="0" applyFill="1" applyBorder="1"/>
    <xf numFmtId="0" fontId="0" fillId="0" borderId="3" xfId="0" applyBorder="1" applyAlignment="1">
      <alignment horizontal="center" vertical="center"/>
    </xf>
    <xf numFmtId="0" fontId="19" fillId="0" borderId="0" xfId="0" applyFont="1" applyAlignment="1">
      <alignment vertical="center"/>
    </xf>
    <xf numFmtId="164" fontId="6" fillId="0" borderId="3" xfId="0" applyNumberFormat="1" applyFont="1" applyFill="1" applyBorder="1" applyAlignment="1">
      <alignment horizontal="center" vertical="center" wrapText="1"/>
    </xf>
    <xf numFmtId="0" fontId="57" fillId="0" borderId="3" xfId="0" applyFont="1" applyFill="1" applyBorder="1" applyAlignment="1">
      <alignment vertical="center" wrapText="1"/>
    </xf>
    <xf numFmtId="14" fontId="6" fillId="0" borderId="3" xfId="0" applyNumberFormat="1" applyFont="1" applyFill="1" applyBorder="1" applyAlignment="1">
      <alignment horizontal="left" vertical="center" wrapText="1"/>
    </xf>
    <xf numFmtId="0" fontId="0" fillId="5" borderId="9" xfId="0" applyFill="1" applyBorder="1" applyAlignment="1">
      <alignment horizontal="center" vertical="center"/>
    </xf>
    <xf numFmtId="14" fontId="70" fillId="0" borderId="1" xfId="0" applyNumberFormat="1" applyFont="1" applyFill="1" applyBorder="1" applyAlignment="1">
      <alignment horizontal="left" vertical="center" wrapText="1"/>
    </xf>
    <xf numFmtId="0" fontId="19" fillId="0" borderId="1" xfId="0" applyFont="1" applyBorder="1" applyAlignment="1">
      <alignment vertical="center"/>
    </xf>
    <xf numFmtId="0" fontId="68" fillId="2" borderId="1" xfId="0" applyFont="1" applyFill="1" applyBorder="1" applyAlignment="1">
      <alignment vertical="center"/>
    </xf>
    <xf numFmtId="0" fontId="19" fillId="2" borderId="1" xfId="0" applyFont="1" applyFill="1" applyBorder="1"/>
    <xf numFmtId="14" fontId="50" fillId="0" borderId="1" xfId="0" applyNumberFormat="1" applyFont="1" applyFill="1" applyBorder="1" applyAlignment="1">
      <alignment horizontal="left" vertical="center" wrapText="1"/>
    </xf>
    <xf numFmtId="0" fontId="71" fillId="0" borderId="1" xfId="0" applyFont="1" applyFill="1" applyBorder="1" applyAlignment="1">
      <alignment horizontal="center" vertical="center" wrapText="1"/>
    </xf>
    <xf numFmtId="0" fontId="50" fillId="0" borderId="1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19" fillId="0" borderId="8" xfId="0" applyFont="1" applyBorder="1" applyAlignment="1">
      <alignment vertical="center"/>
    </xf>
    <xf numFmtId="0" fontId="19" fillId="0" borderId="0" xfId="0" applyFont="1" applyBorder="1" applyAlignment="1">
      <alignment vertical="center"/>
    </xf>
    <xf numFmtId="0" fontId="71" fillId="5" borderId="6" xfId="0" applyFont="1" applyFill="1" applyBorder="1" applyAlignment="1">
      <alignment horizontal="left" vertical="center"/>
    </xf>
    <xf numFmtId="0" fontId="71" fillId="5" borderId="8" xfId="0" applyFont="1" applyFill="1" applyBorder="1" applyAlignment="1">
      <alignment horizontal="left" vertical="center"/>
    </xf>
    <xf numFmtId="0" fontId="66" fillId="5" borderId="0" xfId="0" applyFont="1" applyFill="1"/>
    <xf numFmtId="0" fontId="21" fillId="0" borderId="1" xfId="0" applyFont="1" applyFill="1" applyBorder="1" applyAlignment="1">
      <alignment horizontal="center" vertical="center" wrapText="1"/>
    </xf>
    <xf numFmtId="0" fontId="39" fillId="13" borderId="1" xfId="0" applyFont="1" applyFill="1" applyBorder="1" applyAlignment="1">
      <alignment vertical="center"/>
    </xf>
    <xf numFmtId="0" fontId="39" fillId="12" borderId="1" xfId="0" applyFont="1" applyFill="1" applyBorder="1" applyAlignment="1">
      <alignment vertical="center"/>
    </xf>
    <xf numFmtId="164" fontId="9" fillId="0" borderId="0" xfId="0" applyNumberFormat="1" applyFont="1" applyBorder="1" applyAlignment="1">
      <alignment horizontal="left"/>
    </xf>
    <xf numFmtId="0" fontId="24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textRotation="90"/>
    </xf>
    <xf numFmtId="14" fontId="72" fillId="0" borderId="1" xfId="0" applyNumberFormat="1" applyFont="1" applyFill="1" applyBorder="1" applyAlignment="1">
      <alignment horizontal="left" vertical="center" wrapText="1"/>
    </xf>
    <xf numFmtId="0" fontId="38" fillId="8" borderId="1" xfId="0" applyFont="1" applyFill="1" applyBorder="1" applyAlignment="1">
      <alignment horizontal="center" vertical="center" wrapText="1"/>
    </xf>
    <xf numFmtId="0" fontId="38" fillId="9" borderId="1" xfId="0" applyFont="1" applyFill="1" applyBorder="1" applyAlignment="1">
      <alignment horizontal="center" vertical="center" wrapText="1"/>
    </xf>
    <xf numFmtId="49" fontId="0" fillId="2" borderId="1" xfId="0" applyNumberFormat="1" applyFill="1" applyBorder="1" applyAlignment="1">
      <alignment horizontal="center" vertical="center"/>
    </xf>
    <xf numFmtId="49" fontId="0" fillId="2" borderId="1" xfId="0" applyNumberFormat="1" applyFill="1" applyBorder="1" applyAlignment="1">
      <alignment vertical="center"/>
    </xf>
    <xf numFmtId="49" fontId="0" fillId="2" borderId="5" xfId="0" applyNumberFormat="1" applyFill="1" applyBorder="1" applyAlignment="1">
      <alignment vertical="center"/>
    </xf>
    <xf numFmtId="0" fontId="72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9" fillId="0" borderId="1" xfId="0" applyFont="1" applyFill="1" applyBorder="1" applyAlignment="1">
      <alignment horizontal="center" vertical="center" wrapText="1"/>
    </xf>
    <xf numFmtId="0" fontId="38" fillId="0" borderId="1" xfId="0" applyFont="1" applyFill="1" applyBorder="1" applyAlignment="1">
      <alignment horizontal="center" vertical="center" wrapText="1"/>
    </xf>
    <xf numFmtId="0" fontId="38" fillId="6" borderId="6" xfId="0" applyFont="1" applyFill="1" applyBorder="1" applyAlignment="1">
      <alignment vertical="center"/>
    </xf>
    <xf numFmtId="0" fontId="38" fillId="5" borderId="1" xfId="0" applyFont="1" applyFill="1" applyBorder="1" applyAlignment="1">
      <alignment horizontal="center" vertical="center" wrapText="1"/>
    </xf>
    <xf numFmtId="0" fontId="74" fillId="0" borderId="7" xfId="0" applyFont="1" applyFill="1" applyBorder="1" applyAlignment="1">
      <alignment vertical="center" wrapText="1"/>
    </xf>
    <xf numFmtId="49" fontId="72" fillId="0" borderId="1" xfId="0" applyNumberFormat="1" applyFont="1" applyFill="1" applyBorder="1" applyAlignment="1">
      <alignment horizontal="center" vertical="center" wrapText="1"/>
    </xf>
    <xf numFmtId="0" fontId="38" fillId="0" borderId="8" xfId="0" applyFont="1" applyFill="1" applyBorder="1" applyAlignment="1">
      <alignment vertical="center" wrapText="1"/>
    </xf>
    <xf numFmtId="0" fontId="38" fillId="2" borderId="1" xfId="0" applyFont="1" applyFill="1" applyBorder="1" applyAlignment="1">
      <alignment horizontal="center" vertical="center"/>
    </xf>
    <xf numFmtId="49" fontId="72" fillId="0" borderId="1" xfId="0" applyNumberFormat="1" applyFont="1" applyFill="1" applyBorder="1" applyAlignment="1">
      <alignment horizontal="center" vertical="center"/>
    </xf>
    <xf numFmtId="0" fontId="73" fillId="0" borderId="0" xfId="0" applyFont="1"/>
    <xf numFmtId="0" fontId="75" fillId="9" borderId="1" xfId="0" applyFont="1" applyFill="1" applyBorder="1" applyAlignment="1">
      <alignment horizontal="center" vertical="center" wrapText="1"/>
    </xf>
    <xf numFmtId="0" fontId="75" fillId="8" borderId="1" xfId="0" applyFont="1" applyFill="1" applyBorder="1" applyAlignment="1">
      <alignment horizontal="center" vertical="center" wrapText="1"/>
    </xf>
    <xf numFmtId="0" fontId="76" fillId="9" borderId="1" xfId="0" applyFont="1" applyFill="1" applyBorder="1" applyAlignment="1">
      <alignment horizontal="center" vertical="center" wrapText="1"/>
    </xf>
    <xf numFmtId="0" fontId="29" fillId="2" borderId="1" xfId="0" applyFont="1" applyFill="1" applyBorder="1" applyAlignment="1">
      <alignment horizontal="center" vertical="center"/>
    </xf>
    <xf numFmtId="0" fontId="73" fillId="0" borderId="0" xfId="0" applyFont="1" applyAlignment="1">
      <alignment horizontal="center"/>
    </xf>
    <xf numFmtId="0" fontId="38" fillId="9" borderId="1" xfId="0" applyFont="1" applyFill="1" applyBorder="1" applyAlignment="1">
      <alignment horizontal="center" vertical="center"/>
    </xf>
    <xf numFmtId="0" fontId="38" fillId="8" borderId="1" xfId="0" applyFont="1" applyFill="1" applyBorder="1" applyAlignment="1">
      <alignment horizontal="center" vertical="center"/>
    </xf>
    <xf numFmtId="0" fontId="38" fillId="0" borderId="8" xfId="0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vertical="center" wrapText="1"/>
    </xf>
    <xf numFmtId="0" fontId="75" fillId="8" borderId="1" xfId="0" applyFont="1" applyFill="1" applyBorder="1" applyAlignment="1">
      <alignment horizontal="center" vertical="center"/>
    </xf>
    <xf numFmtId="0" fontId="75" fillId="9" borderId="1" xfId="0" applyFont="1" applyFill="1" applyBorder="1" applyAlignment="1">
      <alignment horizontal="center" vertical="center"/>
    </xf>
    <xf numFmtId="0" fontId="21" fillId="0" borderId="1" xfId="0" applyFont="1" applyBorder="1" applyAlignment="1">
      <alignment horizontal="center"/>
    </xf>
    <xf numFmtId="0" fontId="24" fillId="0" borderId="1" xfId="0" applyFont="1" applyBorder="1" applyAlignment="1">
      <alignment horizontal="center"/>
    </xf>
    <xf numFmtId="0" fontId="76" fillId="8" borderId="1" xfId="0" applyFont="1" applyFill="1" applyBorder="1" applyAlignment="1">
      <alignment horizontal="center" vertical="center" wrapText="1"/>
    </xf>
    <xf numFmtId="0" fontId="38" fillId="13" borderId="1" xfId="0" applyFont="1" applyFill="1" applyBorder="1" applyAlignment="1">
      <alignment horizontal="center" vertical="center"/>
    </xf>
    <xf numFmtId="0" fontId="76" fillId="13" borderId="1" xfId="0" applyFont="1" applyFill="1" applyBorder="1" applyAlignment="1">
      <alignment horizontal="center" vertical="center"/>
    </xf>
    <xf numFmtId="0" fontId="76" fillId="5" borderId="1" xfId="0" applyFont="1" applyFill="1" applyBorder="1" applyAlignment="1">
      <alignment horizontal="center" vertical="center" wrapText="1"/>
    </xf>
    <xf numFmtId="0" fontId="76" fillId="5" borderId="1" xfId="0" applyFont="1" applyFill="1" applyBorder="1" applyAlignment="1">
      <alignment horizontal="center" vertical="center"/>
    </xf>
    <xf numFmtId="0" fontId="76" fillId="6" borderId="20" xfId="0" applyFont="1" applyFill="1" applyBorder="1" applyAlignment="1">
      <alignment horizontal="center" vertical="center"/>
    </xf>
    <xf numFmtId="0" fontId="27" fillId="5" borderId="1" xfId="0" applyFont="1" applyFill="1" applyBorder="1" applyAlignment="1">
      <alignment horizontal="center" vertical="center"/>
    </xf>
    <xf numFmtId="0" fontId="27" fillId="6" borderId="20" xfId="0" applyFont="1" applyFill="1" applyBorder="1" applyAlignment="1">
      <alignment horizontal="center" vertical="center"/>
    </xf>
    <xf numFmtId="164" fontId="72" fillId="0" borderId="1" xfId="0" applyNumberFormat="1" applyFont="1" applyFill="1" applyBorder="1" applyAlignment="1">
      <alignment horizontal="center" vertical="center"/>
    </xf>
    <xf numFmtId="0" fontId="72" fillId="2" borderId="1" xfId="0" applyFont="1" applyFill="1" applyBorder="1" applyAlignment="1">
      <alignment horizontal="left" vertical="center"/>
    </xf>
    <xf numFmtId="0" fontId="38" fillId="2" borderId="1" xfId="3" applyFont="1" applyFill="1" applyBorder="1" applyAlignment="1">
      <alignment horizontal="left" vertical="center" wrapText="1"/>
    </xf>
    <xf numFmtId="0" fontId="38" fillId="0" borderId="5" xfId="0" applyFont="1" applyFill="1" applyBorder="1" applyAlignment="1">
      <alignment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78" fillId="0" borderId="1" xfId="0" applyFont="1" applyFill="1" applyBorder="1" applyAlignment="1">
      <alignment vertical="center" wrapText="1"/>
    </xf>
    <xf numFmtId="14" fontId="1" fillId="0" borderId="3" xfId="0" applyNumberFormat="1" applyFont="1" applyFill="1" applyBorder="1" applyAlignment="1">
      <alignment horizontal="left" vertical="center" wrapText="1"/>
    </xf>
    <xf numFmtId="49" fontId="77" fillId="0" borderId="1" xfId="0" applyNumberFormat="1" applyFont="1" applyFill="1" applyBorder="1" applyAlignment="1">
      <alignment horizontal="center" vertical="center" wrapText="1"/>
    </xf>
    <xf numFmtId="0" fontId="73" fillId="0" borderId="4" xfId="0" applyFont="1" applyBorder="1" applyAlignment="1">
      <alignment horizontal="center" vertical="center"/>
    </xf>
    <xf numFmtId="0" fontId="73" fillId="0" borderId="1" xfId="0" applyFont="1" applyBorder="1" applyAlignment="1">
      <alignment horizontal="center" vertical="center"/>
    </xf>
    <xf numFmtId="164" fontId="1" fillId="0" borderId="4" xfId="0" applyNumberFormat="1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/>
    </xf>
    <xf numFmtId="0" fontId="79" fillId="0" borderId="1" xfId="0" applyFont="1" applyFill="1" applyBorder="1" applyAlignment="1">
      <alignment vertical="center" wrapText="1"/>
    </xf>
    <xf numFmtId="164" fontId="1" fillId="0" borderId="4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left" vertical="center" wrapText="1"/>
    </xf>
    <xf numFmtId="0" fontId="58" fillId="0" borderId="1" xfId="3" applyFont="1" applyFill="1" applyBorder="1" applyAlignment="1">
      <alignment vertical="center" wrapText="1"/>
    </xf>
    <xf numFmtId="0" fontId="21" fillId="0" borderId="0" xfId="0" applyFont="1" applyBorder="1"/>
    <xf numFmtId="0" fontId="26" fillId="14" borderId="7" xfId="0" applyFont="1" applyFill="1" applyBorder="1" applyAlignment="1">
      <alignment vertical="center" wrapText="1"/>
    </xf>
    <xf numFmtId="14" fontId="21" fillId="14" borderId="1" xfId="0" applyNumberFormat="1" applyFont="1" applyFill="1" applyBorder="1" applyAlignment="1">
      <alignment horizontal="left" vertical="center" wrapText="1"/>
    </xf>
    <xf numFmtId="0" fontId="29" fillId="14" borderId="1" xfId="0" applyFont="1" applyFill="1" applyBorder="1" applyAlignment="1">
      <alignment horizontal="center" vertical="center" wrapText="1"/>
    </xf>
    <xf numFmtId="49" fontId="72" fillId="14" borderId="1" xfId="0" applyNumberFormat="1" applyFont="1" applyFill="1" applyBorder="1" applyAlignment="1">
      <alignment horizontal="center" vertical="center" wrapText="1"/>
    </xf>
    <xf numFmtId="0" fontId="21" fillId="14" borderId="1" xfId="0" applyFont="1" applyFill="1" applyBorder="1" applyAlignment="1">
      <alignment horizontal="center" vertical="center" wrapText="1"/>
    </xf>
    <xf numFmtId="0" fontId="38" fillId="14" borderId="1" xfId="0" applyFont="1" applyFill="1" applyBorder="1" applyAlignment="1">
      <alignment horizontal="center" vertical="center" wrapText="1"/>
    </xf>
    <xf numFmtId="0" fontId="75" fillId="14" borderId="1" xfId="0" applyFont="1" applyFill="1" applyBorder="1" applyAlignment="1">
      <alignment horizontal="center" vertical="center" wrapText="1"/>
    </xf>
    <xf numFmtId="0" fontId="39" fillId="14" borderId="1" xfId="0" applyFont="1" applyFill="1" applyBorder="1" applyAlignment="1">
      <alignment horizontal="center" vertical="center" wrapText="1"/>
    </xf>
    <xf numFmtId="0" fontId="27" fillId="14" borderId="1" xfId="0" applyFont="1" applyFill="1" applyBorder="1" applyAlignment="1">
      <alignment horizontal="center" vertical="center" wrapText="1"/>
    </xf>
    <xf numFmtId="0" fontId="54" fillId="14" borderId="1" xfId="0" applyFont="1" applyFill="1" applyBorder="1" applyAlignment="1">
      <alignment horizontal="center" vertical="center" wrapText="1"/>
    </xf>
    <xf numFmtId="164" fontId="21" fillId="14" borderId="1" xfId="0" applyNumberFormat="1" applyFont="1" applyFill="1" applyBorder="1" applyAlignment="1">
      <alignment horizontal="center" vertical="center"/>
    </xf>
    <xf numFmtId="0" fontId="39" fillId="2" borderId="8" xfId="3" applyFont="1" applyFill="1" applyBorder="1" applyAlignment="1">
      <alignment vertical="center" wrapText="1"/>
    </xf>
    <xf numFmtId="0" fontId="81" fillId="0" borderId="1" xfId="0" applyFont="1" applyFill="1" applyBorder="1" applyAlignment="1">
      <alignment horizontal="center" vertical="center" wrapText="1"/>
    </xf>
    <xf numFmtId="0" fontId="39" fillId="2" borderId="1" xfId="3" applyFont="1" applyFill="1" applyBorder="1" applyAlignment="1">
      <alignment horizontal="left" vertical="center" wrapText="1"/>
    </xf>
    <xf numFmtId="0" fontId="28" fillId="2" borderId="0" xfId="3" applyFont="1" applyFill="1" applyBorder="1" applyAlignment="1">
      <alignment horizontal="left" vertical="center" wrapText="1"/>
    </xf>
    <xf numFmtId="49" fontId="21" fillId="0" borderId="0" xfId="0" applyNumberFormat="1" applyFont="1" applyFill="1" applyBorder="1" applyAlignment="1">
      <alignment horizontal="center" vertical="center" wrapText="1"/>
    </xf>
    <xf numFmtId="0" fontId="28" fillId="8" borderId="0" xfId="0" applyFont="1" applyFill="1" applyBorder="1" applyAlignment="1">
      <alignment horizontal="center" vertical="center" wrapText="1"/>
    </xf>
    <xf numFmtId="0" fontId="54" fillId="8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0" fontId="29" fillId="3" borderId="16" xfId="1" applyFont="1" applyFill="1" applyBorder="1" applyAlignment="1">
      <alignment horizontal="center" vertical="center" wrapText="1"/>
    </xf>
    <xf numFmtId="0" fontId="29" fillId="3" borderId="25" xfId="1" applyFont="1" applyFill="1" applyBorder="1" applyAlignment="1">
      <alignment horizontal="center" vertical="center" wrapText="1"/>
    </xf>
    <xf numFmtId="0" fontId="29" fillId="3" borderId="23" xfId="1" applyFont="1" applyFill="1" applyBorder="1" applyAlignment="1">
      <alignment horizontal="center" vertical="center" wrapText="1"/>
    </xf>
    <xf numFmtId="0" fontId="29" fillId="3" borderId="18" xfId="1" applyFont="1" applyFill="1" applyBorder="1" applyAlignment="1">
      <alignment horizontal="center" vertical="center" wrapText="1"/>
    </xf>
    <xf numFmtId="0" fontId="29" fillId="3" borderId="24" xfId="1" applyFont="1" applyFill="1" applyBorder="1" applyAlignment="1">
      <alignment horizontal="center" vertical="center" wrapText="1"/>
    </xf>
    <xf numFmtId="0" fontId="29" fillId="3" borderId="19" xfId="1" applyFont="1" applyFill="1" applyBorder="1" applyAlignment="1">
      <alignment horizontal="center" vertical="center" wrapText="1"/>
    </xf>
    <xf numFmtId="0" fontId="24" fillId="5" borderId="5" xfId="0" applyFont="1" applyFill="1" applyBorder="1" applyAlignment="1">
      <alignment horizontal="center" vertical="center"/>
    </xf>
    <xf numFmtId="0" fontId="24" fillId="5" borderId="6" xfId="0" applyFont="1" applyFill="1" applyBorder="1" applyAlignment="1">
      <alignment horizontal="center" vertical="center"/>
    </xf>
    <xf numFmtId="0" fontId="24" fillId="5" borderId="8" xfId="0" applyFont="1" applyFill="1" applyBorder="1" applyAlignment="1">
      <alignment horizontal="center" vertical="center"/>
    </xf>
    <xf numFmtId="0" fontId="28" fillId="0" borderId="5" xfId="3" applyFont="1" applyFill="1" applyBorder="1" applyAlignment="1">
      <alignment horizontal="left" vertical="center" wrapText="1"/>
    </xf>
    <xf numFmtId="0" fontId="28" fillId="0" borderId="8" xfId="3" applyFont="1" applyFill="1" applyBorder="1" applyAlignment="1">
      <alignment horizontal="left" vertical="center" wrapText="1"/>
    </xf>
    <xf numFmtId="0" fontId="24" fillId="0" borderId="3" xfId="0" applyFont="1" applyFill="1" applyBorder="1" applyAlignment="1">
      <alignment horizontal="center" vertical="center" wrapText="1"/>
    </xf>
    <xf numFmtId="0" fontId="24" fillId="0" borderId="10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24" fillId="0" borderId="2" xfId="0" applyFont="1" applyFill="1" applyBorder="1" applyAlignment="1">
      <alignment horizontal="center" vertical="center" wrapText="1"/>
    </xf>
    <xf numFmtId="164" fontId="24" fillId="0" borderId="1" xfId="0" applyNumberFormat="1" applyFont="1" applyFill="1" applyBorder="1" applyAlignment="1">
      <alignment horizontal="center" vertical="center"/>
    </xf>
    <xf numFmtId="164" fontId="24" fillId="0" borderId="3" xfId="0" applyNumberFormat="1" applyFont="1" applyFill="1" applyBorder="1" applyAlignment="1">
      <alignment horizontal="center" vertical="center"/>
    </xf>
    <xf numFmtId="164" fontId="24" fillId="0" borderId="2" xfId="0" applyNumberFormat="1" applyFont="1" applyFill="1" applyBorder="1" applyAlignment="1">
      <alignment horizontal="center" vertical="center"/>
    </xf>
    <xf numFmtId="0" fontId="22" fillId="0" borderId="0" xfId="0" applyFont="1" applyAlignment="1">
      <alignment horizontal="left" vertical="top" wrapText="1"/>
    </xf>
    <xf numFmtId="0" fontId="25" fillId="0" borderId="3" xfId="0" applyFont="1" applyFill="1" applyBorder="1" applyAlignment="1">
      <alignment horizontal="center" vertical="center" wrapText="1"/>
    </xf>
    <xf numFmtId="0" fontId="25" fillId="0" borderId="9" xfId="0" applyFont="1" applyFill="1" applyBorder="1" applyAlignment="1">
      <alignment horizontal="center" vertical="center" wrapText="1"/>
    </xf>
    <xf numFmtId="0" fontId="25" fillId="0" borderId="10" xfId="0" applyFont="1" applyFill="1" applyBorder="1" applyAlignment="1">
      <alignment horizontal="center" vertical="center" wrapText="1"/>
    </xf>
    <xf numFmtId="0" fontId="24" fillId="8" borderId="5" xfId="0" applyFont="1" applyFill="1" applyBorder="1" applyAlignment="1">
      <alignment horizontal="center" vertical="center" wrapText="1"/>
    </xf>
    <xf numFmtId="0" fontId="24" fillId="8" borderId="8" xfId="0" applyFont="1" applyFill="1" applyBorder="1" applyAlignment="1">
      <alignment horizontal="center" vertical="center" wrapText="1"/>
    </xf>
    <xf numFmtId="0" fontId="24" fillId="8" borderId="3" xfId="0" applyFont="1" applyFill="1" applyBorder="1" applyAlignment="1">
      <alignment horizontal="center" vertical="center" textRotation="90" wrapText="1"/>
    </xf>
    <xf numFmtId="0" fontId="24" fillId="8" borderId="10" xfId="0" applyFont="1" applyFill="1" applyBorder="1" applyAlignment="1">
      <alignment horizontal="center" vertical="center" textRotation="90" wrapText="1"/>
    </xf>
    <xf numFmtId="0" fontId="24" fillId="4" borderId="1" xfId="0" applyFont="1" applyFill="1" applyBorder="1" applyAlignment="1">
      <alignment horizontal="center" vertical="center" wrapText="1"/>
    </xf>
    <xf numFmtId="0" fontId="24" fillId="9" borderId="5" xfId="0" applyFont="1" applyFill="1" applyBorder="1" applyAlignment="1">
      <alignment horizontal="center" vertical="center" wrapText="1"/>
    </xf>
    <xf numFmtId="0" fontId="24" fillId="9" borderId="6" xfId="0" applyFont="1" applyFill="1" applyBorder="1" applyAlignment="1">
      <alignment horizontal="center" vertical="center" wrapText="1"/>
    </xf>
    <xf numFmtId="0" fontId="24" fillId="9" borderId="8" xfId="0" applyFont="1" applyFill="1" applyBorder="1" applyAlignment="1">
      <alignment horizontal="center" vertical="center" wrapText="1"/>
    </xf>
    <xf numFmtId="0" fontId="47" fillId="0" borderId="0" xfId="0" applyFont="1" applyFill="1" applyBorder="1" applyAlignment="1">
      <alignment horizontal="center" vertical="center" wrapText="1"/>
    </xf>
    <xf numFmtId="0" fontId="49" fillId="0" borderId="0" xfId="0" applyFont="1" applyFill="1" applyBorder="1" applyAlignment="1">
      <alignment horizontal="center" vertical="center"/>
    </xf>
    <xf numFmtId="0" fontId="21" fillId="0" borderId="5" xfId="0" applyFont="1" applyFill="1" applyBorder="1" applyAlignment="1">
      <alignment horizontal="center" vertical="center"/>
    </xf>
    <xf numFmtId="0" fontId="21" fillId="0" borderId="6" xfId="0" applyFont="1" applyFill="1" applyBorder="1" applyAlignment="1">
      <alignment horizontal="center" vertical="center"/>
    </xf>
    <xf numFmtId="0" fontId="21" fillId="0" borderId="8" xfId="0" applyFont="1" applyFill="1" applyBorder="1" applyAlignment="1">
      <alignment horizontal="center" vertical="center"/>
    </xf>
    <xf numFmtId="0" fontId="21" fillId="0" borderId="5" xfId="0" applyFont="1" applyFill="1" applyBorder="1" applyAlignment="1">
      <alignment horizontal="center" vertical="center" wrapText="1"/>
    </xf>
    <xf numFmtId="0" fontId="21" fillId="0" borderId="6" xfId="0" applyFont="1" applyFill="1" applyBorder="1" applyAlignment="1">
      <alignment horizontal="center" vertical="center" wrapText="1"/>
    </xf>
    <xf numFmtId="0" fontId="21" fillId="0" borderId="8" xfId="0" applyFont="1" applyFill="1" applyBorder="1" applyAlignment="1">
      <alignment horizontal="center" vertical="center" wrapText="1"/>
    </xf>
    <xf numFmtId="0" fontId="24" fillId="8" borderId="6" xfId="0" applyFont="1" applyFill="1" applyBorder="1" applyAlignment="1">
      <alignment horizontal="center" vertical="center" wrapText="1"/>
    </xf>
    <xf numFmtId="0" fontId="24" fillId="9" borderId="3" xfId="0" applyFont="1" applyFill="1" applyBorder="1" applyAlignment="1">
      <alignment horizontal="center" vertical="center" textRotation="90" wrapText="1"/>
    </xf>
    <xf numFmtId="0" fontId="24" fillId="9" borderId="10" xfId="0" applyFont="1" applyFill="1" applyBorder="1" applyAlignment="1">
      <alignment horizontal="center" vertical="center" textRotation="90" wrapText="1"/>
    </xf>
    <xf numFmtId="0" fontId="22" fillId="0" borderId="0" xfId="0" applyFont="1" applyFill="1" applyBorder="1" applyAlignment="1">
      <alignment horizontal="left" vertical="center" wrapText="1"/>
    </xf>
    <xf numFmtId="0" fontId="45" fillId="0" borderId="0" xfId="0" applyFont="1" applyFill="1" applyBorder="1" applyAlignment="1">
      <alignment horizontal="left" vertical="center" wrapText="1"/>
    </xf>
    <xf numFmtId="0" fontId="48" fillId="0" borderId="0" xfId="0" applyFont="1" applyFill="1" applyBorder="1" applyAlignment="1">
      <alignment horizontal="center" vertical="center"/>
    </xf>
    <xf numFmtId="49" fontId="9" fillId="0" borderId="0" xfId="0" applyNumberFormat="1" applyFont="1" applyAlignment="1">
      <alignment horizontal="left" vertical="center"/>
    </xf>
    <xf numFmtId="49" fontId="33" fillId="0" borderId="0" xfId="0" applyNumberFormat="1" applyFont="1" applyAlignment="1">
      <alignment horizontal="left" vertical="center"/>
    </xf>
    <xf numFmtId="0" fontId="40" fillId="5" borderId="18" xfId="3" applyFont="1" applyFill="1" applyBorder="1" applyAlignment="1">
      <alignment horizontal="center" vertical="center" wrapText="1"/>
    </xf>
    <xf numFmtId="0" fontId="40" fillId="5" borderId="24" xfId="3" applyFont="1" applyFill="1" applyBorder="1" applyAlignment="1">
      <alignment horizontal="center" vertical="center" wrapText="1"/>
    </xf>
    <xf numFmtId="0" fontId="40" fillId="5" borderId="19" xfId="3" applyFont="1" applyFill="1" applyBorder="1" applyAlignment="1">
      <alignment horizontal="center" vertical="center" wrapText="1"/>
    </xf>
    <xf numFmtId="0" fontId="24" fillId="9" borderId="4" xfId="0" applyFont="1" applyFill="1" applyBorder="1" applyAlignment="1">
      <alignment horizontal="center" vertical="center" textRotation="90" wrapText="1"/>
    </xf>
    <xf numFmtId="0" fontId="25" fillId="0" borderId="4" xfId="0" applyFont="1" applyFill="1" applyBorder="1" applyAlignment="1">
      <alignment horizontal="center" vertical="center" wrapText="1"/>
    </xf>
    <xf numFmtId="49" fontId="50" fillId="0" borderId="3" xfId="0" applyNumberFormat="1" applyFont="1" applyFill="1" applyBorder="1" applyAlignment="1">
      <alignment horizontal="center" vertical="center"/>
    </xf>
    <xf numFmtId="49" fontId="50" fillId="0" borderId="4" xfId="0" applyNumberFormat="1" applyFont="1" applyFill="1" applyBorder="1" applyAlignment="1">
      <alignment horizontal="center" vertical="center"/>
    </xf>
    <xf numFmtId="0" fontId="26" fillId="2" borderId="7" xfId="0" applyFont="1" applyFill="1" applyBorder="1" applyAlignment="1">
      <alignment horizontal="left" vertical="center" wrapText="1"/>
    </xf>
    <xf numFmtId="0" fontId="26" fillId="2" borderId="14" xfId="0" applyFont="1" applyFill="1" applyBorder="1" applyAlignment="1">
      <alignment horizontal="left" vertical="center" wrapText="1"/>
    </xf>
    <xf numFmtId="0" fontId="26" fillId="2" borderId="21" xfId="0" applyFont="1" applyFill="1" applyBorder="1" applyAlignment="1">
      <alignment horizontal="left" vertical="center" wrapText="1"/>
    </xf>
    <xf numFmtId="0" fontId="26" fillId="2" borderId="22" xfId="0" applyFont="1" applyFill="1" applyBorder="1" applyAlignment="1">
      <alignment horizontal="left" vertical="center" wrapText="1"/>
    </xf>
    <xf numFmtId="0" fontId="24" fillId="6" borderId="5" xfId="0" applyFont="1" applyFill="1" applyBorder="1" applyAlignment="1">
      <alignment horizontal="left" vertical="center"/>
    </xf>
    <xf numFmtId="0" fontId="24" fillId="6" borderId="6" xfId="0" applyFont="1" applyFill="1" applyBorder="1" applyAlignment="1">
      <alignment horizontal="left" vertical="center"/>
    </xf>
    <xf numFmtId="0" fontId="24" fillId="6" borderId="8" xfId="0" applyFont="1" applyFill="1" applyBorder="1" applyAlignment="1">
      <alignment horizontal="left" vertical="center"/>
    </xf>
    <xf numFmtId="0" fontId="24" fillId="8" borderId="4" xfId="0" applyFont="1" applyFill="1" applyBorder="1" applyAlignment="1">
      <alignment horizontal="center" vertical="center" textRotation="90" wrapText="1"/>
    </xf>
    <xf numFmtId="0" fontId="28" fillId="5" borderId="5" xfId="0" applyFont="1" applyFill="1" applyBorder="1" applyAlignment="1">
      <alignment horizontal="center" vertical="center"/>
    </xf>
    <xf numFmtId="0" fontId="28" fillId="5" borderId="6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49" fontId="24" fillId="0" borderId="1" xfId="0" applyNumberFormat="1" applyFont="1" applyFill="1" applyBorder="1" applyAlignment="1">
      <alignment horizontal="center" vertical="center"/>
    </xf>
    <xf numFmtId="49" fontId="24" fillId="0" borderId="3" xfId="0" applyNumberFormat="1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 wrapText="1"/>
    </xf>
    <xf numFmtId="0" fontId="24" fillId="0" borderId="4" xfId="0" applyFont="1" applyFill="1" applyBorder="1" applyAlignment="1">
      <alignment horizontal="center" vertical="center" wrapText="1"/>
    </xf>
    <xf numFmtId="0" fontId="25" fillId="8" borderId="5" xfId="0" applyFont="1" applyFill="1" applyBorder="1" applyAlignment="1">
      <alignment horizontal="center" vertical="center" wrapText="1"/>
    </xf>
    <xf numFmtId="0" fontId="25" fillId="8" borderId="8" xfId="0" applyFont="1" applyFill="1" applyBorder="1" applyAlignment="1">
      <alignment horizontal="center" vertical="center" wrapText="1"/>
    </xf>
    <xf numFmtId="0" fontId="24" fillId="4" borderId="5" xfId="0" applyFont="1" applyFill="1" applyBorder="1" applyAlignment="1">
      <alignment horizontal="center" vertical="center" wrapText="1"/>
    </xf>
    <xf numFmtId="0" fontId="24" fillId="4" borderId="6" xfId="0" applyFont="1" applyFill="1" applyBorder="1" applyAlignment="1">
      <alignment horizontal="center" vertical="center" wrapText="1"/>
    </xf>
    <xf numFmtId="0" fontId="24" fillId="4" borderId="8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left" vertical="top" wrapText="1"/>
    </xf>
    <xf numFmtId="0" fontId="28" fillId="7" borderId="5" xfId="3" applyFont="1" applyFill="1" applyBorder="1" applyAlignment="1">
      <alignment horizontal="left" vertical="center" wrapText="1"/>
    </xf>
    <xf numFmtId="0" fontId="28" fillId="7" borderId="8" xfId="3" applyFont="1" applyFill="1" applyBorder="1" applyAlignment="1">
      <alignment horizontal="left" vertical="center" wrapText="1"/>
    </xf>
    <xf numFmtId="164" fontId="12" fillId="0" borderId="37" xfId="0" applyNumberFormat="1" applyFont="1" applyBorder="1" applyAlignment="1">
      <alignment horizontal="left"/>
    </xf>
    <xf numFmtId="0" fontId="29" fillId="3" borderId="26" xfId="1" applyFont="1" applyFill="1" applyBorder="1" applyAlignment="1">
      <alignment horizontal="center" vertical="center" wrapText="1"/>
    </xf>
    <xf numFmtId="0" fontId="29" fillId="3" borderId="27" xfId="1" applyFont="1" applyFill="1" applyBorder="1" applyAlignment="1">
      <alignment horizontal="center" vertical="center" wrapText="1"/>
    </xf>
    <xf numFmtId="0" fontId="29" fillId="3" borderId="28" xfId="1" applyFont="1" applyFill="1" applyBorder="1" applyAlignment="1">
      <alignment horizontal="center" vertical="center" wrapText="1"/>
    </xf>
    <xf numFmtId="0" fontId="40" fillId="5" borderId="5" xfId="3" applyFont="1" applyFill="1" applyBorder="1" applyAlignment="1">
      <alignment horizontal="center" vertical="center" wrapText="1"/>
    </xf>
    <xf numFmtId="0" fontId="40" fillId="5" borderId="6" xfId="3" applyFont="1" applyFill="1" applyBorder="1" applyAlignment="1">
      <alignment horizontal="center" vertical="center" wrapText="1"/>
    </xf>
    <xf numFmtId="0" fontId="40" fillId="5" borderId="8" xfId="3" applyFont="1" applyFill="1" applyBorder="1" applyAlignment="1">
      <alignment horizontal="center" vertical="center" wrapText="1"/>
    </xf>
    <xf numFmtId="0" fontId="38" fillId="7" borderId="5" xfId="3" applyFont="1" applyFill="1" applyBorder="1" applyAlignment="1">
      <alignment horizontal="left" vertical="center" wrapText="1"/>
    </xf>
    <xf numFmtId="0" fontId="38" fillId="7" borderId="8" xfId="3" applyFont="1" applyFill="1" applyBorder="1" applyAlignment="1">
      <alignment horizontal="left" vertical="center" wrapText="1"/>
    </xf>
    <xf numFmtId="0" fontId="38" fillId="2" borderId="5" xfId="3" applyFont="1" applyFill="1" applyBorder="1" applyAlignment="1">
      <alignment horizontal="left" vertical="center" wrapText="1"/>
    </xf>
    <xf numFmtId="0" fontId="38" fillId="2" borderId="8" xfId="3" applyFont="1" applyFill="1" applyBorder="1" applyAlignment="1">
      <alignment horizontal="left" vertical="center" wrapText="1"/>
    </xf>
    <xf numFmtId="0" fontId="28" fillId="2" borderId="5" xfId="3" applyFont="1" applyFill="1" applyBorder="1" applyAlignment="1">
      <alignment horizontal="left" vertical="center" wrapText="1"/>
    </xf>
    <xf numFmtId="0" fontId="28" fillId="2" borderId="8" xfId="3" applyFont="1" applyFill="1" applyBorder="1" applyAlignment="1">
      <alignment horizontal="left" vertical="center" wrapText="1"/>
    </xf>
    <xf numFmtId="0" fontId="24" fillId="0" borderId="9" xfId="0" applyFont="1" applyFill="1" applyBorder="1" applyAlignment="1">
      <alignment horizontal="center" vertical="center" wrapText="1"/>
    </xf>
    <xf numFmtId="0" fontId="24" fillId="8" borderId="9" xfId="0" applyFont="1" applyFill="1" applyBorder="1" applyAlignment="1">
      <alignment horizontal="center" vertical="center" textRotation="90" wrapText="1"/>
    </xf>
    <xf numFmtId="49" fontId="33" fillId="2" borderId="0" xfId="0" applyNumberFormat="1" applyFont="1" applyFill="1" applyAlignment="1">
      <alignment horizontal="left" vertical="center"/>
    </xf>
    <xf numFmtId="0" fontId="27" fillId="6" borderId="5" xfId="0" applyFont="1" applyFill="1" applyBorder="1" applyAlignment="1">
      <alignment horizontal="center" vertical="center"/>
    </xf>
    <xf numFmtId="0" fontId="27" fillId="6" borderId="6" xfId="0" applyFont="1" applyFill="1" applyBorder="1" applyAlignment="1">
      <alignment horizontal="center" vertical="center"/>
    </xf>
    <xf numFmtId="0" fontId="27" fillId="6" borderId="8" xfId="0" applyFont="1" applyFill="1" applyBorder="1" applyAlignment="1">
      <alignment horizontal="center" vertical="center"/>
    </xf>
    <xf numFmtId="0" fontId="24" fillId="9" borderId="9" xfId="0" applyFont="1" applyFill="1" applyBorder="1" applyAlignment="1">
      <alignment horizontal="center" vertical="center" textRotation="90" wrapText="1"/>
    </xf>
    <xf numFmtId="0" fontId="28" fillId="2" borderId="6" xfId="3" applyFont="1" applyFill="1" applyBorder="1" applyAlignment="1">
      <alignment horizontal="left" vertical="center" wrapText="1"/>
    </xf>
    <xf numFmtId="0" fontId="24" fillId="5" borderId="5" xfId="0" applyFont="1" applyFill="1" applyBorder="1" applyAlignment="1">
      <alignment horizontal="center" vertical="center" wrapText="1"/>
    </xf>
    <xf numFmtId="0" fontId="24" fillId="5" borderId="6" xfId="0" applyFont="1" applyFill="1" applyBorder="1" applyAlignment="1">
      <alignment horizontal="center" vertical="center" wrapText="1"/>
    </xf>
    <xf numFmtId="0" fontId="24" fillId="5" borderId="8" xfId="0" applyFont="1" applyFill="1" applyBorder="1" applyAlignment="1">
      <alignment horizontal="center" vertical="center" wrapText="1"/>
    </xf>
    <xf numFmtId="0" fontId="24" fillId="9" borderId="3" xfId="0" applyFont="1" applyFill="1" applyBorder="1" applyAlignment="1">
      <alignment horizontal="center" vertical="center" wrapText="1"/>
    </xf>
    <xf numFmtId="0" fontId="24" fillId="9" borderId="9" xfId="0" applyFont="1" applyFill="1" applyBorder="1" applyAlignment="1">
      <alignment horizontal="center" vertical="center" wrapText="1"/>
    </xf>
    <xf numFmtId="0" fontId="24" fillId="5" borderId="11" xfId="0" applyFont="1" applyFill="1" applyBorder="1" applyAlignment="1">
      <alignment horizontal="center" vertical="center"/>
    </xf>
    <xf numFmtId="0" fontId="24" fillId="5" borderId="12" xfId="0" applyFont="1" applyFill="1" applyBorder="1" applyAlignment="1">
      <alignment horizontal="center" vertical="center"/>
    </xf>
    <xf numFmtId="0" fontId="24" fillId="5" borderId="13" xfId="0" applyFont="1" applyFill="1" applyBorder="1" applyAlignment="1">
      <alignment horizontal="center" vertical="center"/>
    </xf>
    <xf numFmtId="0" fontId="40" fillId="5" borderId="7" xfId="3" applyFont="1" applyFill="1" applyBorder="1" applyAlignment="1">
      <alignment horizontal="center" vertical="center" wrapText="1"/>
    </xf>
    <xf numFmtId="0" fontId="40" fillId="5" borderId="29" xfId="3" applyFont="1" applyFill="1" applyBorder="1" applyAlignment="1">
      <alignment horizontal="center" vertical="center" wrapText="1"/>
    </xf>
    <xf numFmtId="0" fontId="40" fillId="5" borderId="14" xfId="3" applyFont="1" applyFill="1" applyBorder="1" applyAlignment="1">
      <alignment horizontal="center" vertical="center" wrapText="1"/>
    </xf>
    <xf numFmtId="0" fontId="24" fillId="10" borderId="5" xfId="0" applyFont="1" applyFill="1" applyBorder="1" applyAlignment="1">
      <alignment horizontal="left" vertical="center"/>
    </xf>
    <xf numFmtId="0" fontId="24" fillId="10" borderId="6" xfId="0" applyFont="1" applyFill="1" applyBorder="1" applyAlignment="1">
      <alignment horizontal="left" vertical="center"/>
    </xf>
    <xf numFmtId="0" fontId="24" fillId="10" borderId="8" xfId="0" applyFont="1" applyFill="1" applyBorder="1" applyAlignment="1">
      <alignment horizontal="left" vertical="center"/>
    </xf>
    <xf numFmtId="0" fontId="80" fillId="0" borderId="0" xfId="0" applyFont="1" applyAlignment="1">
      <alignment horizontal="left" vertical="center" wrapText="1"/>
    </xf>
    <xf numFmtId="0" fontId="80" fillId="0" borderId="0" xfId="0" applyFont="1" applyAlignment="1">
      <alignment horizontal="left" vertical="center"/>
    </xf>
    <xf numFmtId="0" fontId="5" fillId="10" borderId="5" xfId="0" applyFont="1" applyFill="1" applyBorder="1" applyAlignment="1">
      <alignment horizontal="left" vertical="center"/>
    </xf>
    <xf numFmtId="0" fontId="5" fillId="10" borderId="6" xfId="0" applyFont="1" applyFill="1" applyBorder="1" applyAlignment="1">
      <alignment horizontal="left" vertical="center"/>
    </xf>
    <xf numFmtId="0" fontId="5" fillId="10" borderId="8" xfId="0" applyFont="1" applyFill="1" applyBorder="1" applyAlignment="1">
      <alignment horizontal="left" vertical="center"/>
    </xf>
    <xf numFmtId="0" fontId="33" fillId="0" borderId="0" xfId="0" applyFont="1" applyFill="1" applyBorder="1" applyAlignment="1">
      <alignment horizontal="center" vertical="center" wrapText="1"/>
    </xf>
    <xf numFmtId="0" fontId="58" fillId="3" borderId="5" xfId="1" applyFont="1" applyFill="1" applyBorder="1" applyAlignment="1">
      <alignment horizontal="center" vertical="center" wrapText="1"/>
    </xf>
    <xf numFmtId="0" fontId="58" fillId="3" borderId="6" xfId="1" applyFont="1" applyFill="1" applyBorder="1" applyAlignment="1">
      <alignment horizontal="center" vertical="center" wrapText="1"/>
    </xf>
    <xf numFmtId="0" fontId="58" fillId="3" borderId="8" xfId="1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horizontal="center" vertical="center"/>
    </xf>
    <xf numFmtId="0" fontId="5" fillId="5" borderId="29" xfId="0" applyFont="1" applyFill="1" applyBorder="1" applyAlignment="1">
      <alignment horizontal="center" vertical="center"/>
    </xf>
    <xf numFmtId="0" fontId="5" fillId="5" borderId="14" xfId="0" applyFont="1" applyFill="1" applyBorder="1" applyAlignment="1">
      <alignment horizontal="center" vertical="center"/>
    </xf>
    <xf numFmtId="0" fontId="60" fillId="5" borderId="5" xfId="3" applyFont="1" applyFill="1" applyBorder="1" applyAlignment="1">
      <alignment horizontal="center" vertical="center" wrapText="1"/>
    </xf>
    <xf numFmtId="0" fontId="60" fillId="5" borderId="6" xfId="3" applyFont="1" applyFill="1" applyBorder="1" applyAlignment="1">
      <alignment horizontal="center" vertical="center" wrapText="1"/>
    </xf>
    <xf numFmtId="0" fontId="60" fillId="5" borderId="8" xfId="3" applyFont="1" applyFill="1" applyBorder="1" applyAlignment="1">
      <alignment horizontal="center" vertical="center" wrapText="1"/>
    </xf>
    <xf numFmtId="0" fontId="5" fillId="5" borderId="15" xfId="0" applyFont="1" applyFill="1" applyBorder="1" applyAlignment="1">
      <alignment horizontal="center" vertical="center"/>
    </xf>
    <xf numFmtId="0" fontId="5" fillId="5" borderId="0" xfId="0" applyFont="1" applyFill="1" applyBorder="1" applyAlignment="1">
      <alignment horizontal="center" vertical="center"/>
    </xf>
    <xf numFmtId="0" fontId="5" fillId="5" borderId="36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59" fillId="2" borderId="7" xfId="0" applyFont="1" applyFill="1" applyBorder="1" applyAlignment="1">
      <alignment horizontal="left" vertical="center" wrapText="1"/>
    </xf>
    <xf numFmtId="0" fontId="59" fillId="2" borderId="14" xfId="0" applyFont="1" applyFill="1" applyBorder="1" applyAlignment="1">
      <alignment horizontal="left" vertical="center" wrapText="1"/>
    </xf>
    <xf numFmtId="0" fontId="59" fillId="2" borderId="21" xfId="0" applyFont="1" applyFill="1" applyBorder="1" applyAlignment="1">
      <alignment horizontal="left" vertical="center" wrapText="1"/>
    </xf>
    <xf numFmtId="0" fontId="59" fillId="2" borderId="22" xfId="0" applyFont="1" applyFill="1" applyBorder="1" applyAlignment="1">
      <alignment horizontal="left" vertical="center" wrapText="1"/>
    </xf>
    <xf numFmtId="0" fontId="59" fillId="0" borderId="5" xfId="3" applyFont="1" applyFill="1" applyBorder="1" applyAlignment="1">
      <alignment horizontal="left" vertical="center" wrapText="1"/>
    </xf>
    <xf numFmtId="0" fontId="59" fillId="0" borderId="8" xfId="3" applyFont="1" applyFill="1" applyBorder="1" applyAlignment="1">
      <alignment horizontal="left" vertical="center" wrapText="1"/>
    </xf>
    <xf numFmtId="164" fontId="6" fillId="0" borderId="3" xfId="0" applyNumberFormat="1" applyFont="1" applyFill="1" applyBorder="1" applyAlignment="1">
      <alignment horizontal="center" vertical="center"/>
    </xf>
    <xf numFmtId="164" fontId="6" fillId="0" borderId="4" xfId="0" applyNumberFormat="1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left" vertical="center" wrapText="1"/>
    </xf>
    <xf numFmtId="0" fontId="0" fillId="11" borderId="5" xfId="0" applyFill="1" applyBorder="1" applyAlignment="1">
      <alignment horizontal="left" vertical="center"/>
    </xf>
    <xf numFmtId="0" fontId="0" fillId="11" borderId="6" xfId="0" applyFill="1" applyBorder="1" applyAlignment="1">
      <alignment horizontal="left" vertical="center"/>
    </xf>
    <xf numFmtId="0" fontId="0" fillId="11" borderId="8" xfId="0" applyFill="1" applyBorder="1" applyAlignment="1">
      <alignment horizontal="left" vertical="center"/>
    </xf>
    <xf numFmtId="49" fontId="0" fillId="11" borderId="5" xfId="0" applyNumberFormat="1" applyFill="1" applyBorder="1" applyAlignment="1">
      <alignment horizontal="left" vertical="center"/>
    </xf>
    <xf numFmtId="49" fontId="0" fillId="11" borderId="6" xfId="0" applyNumberFormat="1" applyFill="1" applyBorder="1" applyAlignment="1">
      <alignment horizontal="left" vertical="center"/>
    </xf>
    <xf numFmtId="49" fontId="0" fillId="11" borderId="8" xfId="0" applyNumberFormat="1" applyFill="1" applyBorder="1" applyAlignment="1">
      <alignment horizontal="left" vertical="center"/>
    </xf>
    <xf numFmtId="49" fontId="0" fillId="11" borderId="20" xfId="0" applyNumberFormat="1" applyFill="1" applyBorder="1" applyAlignment="1">
      <alignment horizontal="left" vertical="center"/>
    </xf>
    <xf numFmtId="49" fontId="0" fillId="11" borderId="22" xfId="0" applyNumberFormat="1" applyFill="1" applyBorder="1" applyAlignment="1">
      <alignment horizontal="left" vertical="center"/>
    </xf>
    <xf numFmtId="0" fontId="24" fillId="2" borderId="1" xfId="0" applyFont="1" applyFill="1" applyBorder="1" applyAlignment="1">
      <alignment horizontal="center" vertical="center" wrapText="1"/>
    </xf>
    <xf numFmtId="0" fontId="24" fillId="2" borderId="1" xfId="0" applyFont="1" applyFill="1" applyBorder="1" applyAlignment="1">
      <alignment horizontal="center" vertical="center" textRotation="90" wrapText="1"/>
    </xf>
    <xf numFmtId="0" fontId="25" fillId="2" borderId="1" xfId="0" applyFont="1" applyFill="1" applyBorder="1" applyAlignment="1">
      <alignment horizontal="center" vertical="center" wrapText="1"/>
    </xf>
    <xf numFmtId="164" fontId="21" fillId="11" borderId="5" xfId="0" applyNumberFormat="1" applyFont="1" applyFill="1" applyBorder="1" applyAlignment="1">
      <alignment horizontal="left" vertical="center"/>
    </xf>
    <xf numFmtId="164" fontId="21" fillId="11" borderId="6" xfId="0" applyNumberFormat="1" applyFont="1" applyFill="1" applyBorder="1" applyAlignment="1">
      <alignment horizontal="left" vertical="center"/>
    </xf>
    <xf numFmtId="164" fontId="21" fillId="11" borderId="8" xfId="0" applyNumberFormat="1" applyFont="1" applyFill="1" applyBorder="1" applyAlignment="1">
      <alignment horizontal="left" vertical="center"/>
    </xf>
    <xf numFmtId="0" fontId="25" fillId="0" borderId="1" xfId="0" applyFont="1" applyFill="1" applyBorder="1" applyAlignment="1">
      <alignment horizontal="center" vertical="center" wrapText="1"/>
    </xf>
    <xf numFmtId="0" fontId="63" fillId="0" borderId="0" xfId="0" applyFont="1" applyFill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right" vertical="center" textRotation="90"/>
    </xf>
    <xf numFmtId="0" fontId="9" fillId="0" borderId="3" xfId="0" applyFont="1" applyBorder="1" applyAlignment="1">
      <alignment horizontal="center" vertical="center" textRotation="90"/>
    </xf>
    <xf numFmtId="0" fontId="9" fillId="0" borderId="9" xfId="0" applyFont="1" applyBorder="1" applyAlignment="1">
      <alignment horizontal="center" vertical="center" textRotation="90"/>
    </xf>
    <xf numFmtId="0" fontId="9" fillId="0" borderId="4" xfId="0" applyFont="1" applyBorder="1" applyAlignment="1">
      <alignment horizontal="center" vertical="center" textRotation="90"/>
    </xf>
  </cellXfs>
  <cellStyles count="5">
    <cellStyle name="Normalny" xfId="0" builtinId="0"/>
    <cellStyle name="Normalny 2" xfId="1"/>
    <cellStyle name="Normalny 2 2" xfId="4"/>
    <cellStyle name="Normalny 3" xfId="3"/>
    <cellStyle name="Normalny 4" xfId="2"/>
  </cellStyles>
  <dxfs count="0"/>
  <tableStyles count="0" defaultTableStyle="TableStyleMedium2" defaultPivotStyle="PivotStyleLight16"/>
  <colors>
    <mruColors>
      <color rgb="FFC4C4C4"/>
      <color rgb="FFD2E8FF"/>
      <color rgb="FFE2E2E2"/>
      <color rgb="FFFDFECA"/>
      <color rgb="FFFFFFC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24</xdr:col>
      <xdr:colOff>257175</xdr:colOff>
      <xdr:row>0</xdr:row>
      <xdr:rowOff>133350</xdr:rowOff>
    </xdr:from>
    <xdr:to>
      <xdr:col>25</xdr:col>
      <xdr:colOff>430141</xdr:colOff>
      <xdr:row>0</xdr:row>
      <xdr:rowOff>438150</xdr:rowOff>
    </xdr:to>
    <xdr:sp macro="" textlink="">
      <xdr:nvSpPr>
        <xdr:cNvPr id="3300" name="Text Box 3"/>
        <xdr:cNvSpPr txBox="1">
          <a:spLocks noChangeArrowheads="1"/>
        </xdr:cNvSpPr>
      </xdr:nvSpPr>
      <xdr:spPr bwMode="auto">
        <a:xfrm>
          <a:off x="11963400" y="133350"/>
          <a:ext cx="8763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0</xdr:col>
      <xdr:colOff>309563</xdr:colOff>
      <xdr:row>51</xdr:row>
      <xdr:rowOff>419101</xdr:rowOff>
    </xdr:from>
    <xdr:ext cx="2000251" cy="1202531"/>
    <xdr:sp macro="" textlink="">
      <xdr:nvSpPr>
        <xdr:cNvPr id="7" name="pole tekstowe 6"/>
        <xdr:cNvSpPr txBox="1"/>
      </xdr:nvSpPr>
      <xdr:spPr>
        <a:xfrm>
          <a:off x="309563" y="17052132"/>
          <a:ext cx="2000251" cy="1202531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squar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W-</a:t>
          </a:r>
          <a:r>
            <a:rPr kumimoji="0" lang="pl-PL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 wykład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C</a:t>
          </a:r>
          <a:r>
            <a:rPr kumimoji="0" lang="pl-PL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- ćwieczenia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CP</a:t>
          </a:r>
          <a:r>
            <a:rPr kumimoji="0" lang="pl-PL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- ćwiczenia p[raktyczne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P</a:t>
          </a:r>
          <a:r>
            <a:rPr kumimoji="0" lang="pl-PL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-praktyki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L</a:t>
          </a:r>
          <a:r>
            <a:rPr kumimoji="0" lang="pl-PL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- laboratoria</a:t>
          </a:r>
        </a:p>
      </xdr:txBody>
    </xdr:sp>
    <xdr:clientData/>
  </xdr:oneCellAnchor>
  <xdr:twoCellAnchor>
    <xdr:from>
      <xdr:col>26</xdr:col>
      <xdr:colOff>333375</xdr:colOff>
      <xdr:row>0</xdr:row>
      <xdr:rowOff>47626</xdr:rowOff>
    </xdr:from>
    <xdr:to>
      <xdr:col>30</xdr:col>
      <xdr:colOff>631031</xdr:colOff>
      <xdr:row>0</xdr:row>
      <xdr:rowOff>523876</xdr:rowOff>
    </xdr:to>
    <xdr:sp macro="" textlink="">
      <xdr:nvSpPr>
        <xdr:cNvPr id="3" name="pole tekstowe 2"/>
        <xdr:cNvSpPr txBox="1"/>
      </xdr:nvSpPr>
      <xdr:spPr>
        <a:xfrm>
          <a:off x="17073563" y="47626"/>
          <a:ext cx="2297906" cy="4762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indent="0" algn="ctr"/>
          <a:r>
            <a:rPr lang="pl-PL" sz="900">
              <a:solidFill>
                <a:schemeClr val="tx1"/>
              </a:solidFill>
              <a:latin typeface="+mn-lt"/>
              <a:ea typeface="+mn-ea"/>
              <a:cs typeface="+mn-cs"/>
            </a:rPr>
            <a:t>Obowiązuje dla kształcenia</a:t>
          </a:r>
        </a:p>
        <a:p>
          <a:pPr marL="0" indent="0" algn="ctr"/>
          <a:r>
            <a:rPr lang="pl-PL" sz="900">
              <a:solidFill>
                <a:schemeClr val="tx1"/>
              </a:solidFill>
              <a:latin typeface="+mn-lt"/>
              <a:ea typeface="+mn-ea"/>
              <a:cs typeface="+mn-cs"/>
            </a:rPr>
            <a:t>od roku akademickiego 2017/2018</a:t>
          </a:r>
          <a:endParaRPr lang="en-US" sz="900">
            <a:solidFill>
              <a:schemeClr val="tx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 editAs="oneCell">
    <xdr:from>
      <xdr:col>22</xdr:col>
      <xdr:colOff>440530</xdr:colOff>
      <xdr:row>1</xdr:row>
      <xdr:rowOff>190500</xdr:rowOff>
    </xdr:from>
    <xdr:to>
      <xdr:col>30</xdr:col>
      <xdr:colOff>455274</xdr:colOff>
      <xdr:row>3</xdr:row>
      <xdr:rowOff>322035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5013780" y="833438"/>
          <a:ext cx="4170025" cy="103641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24</xdr:col>
      <xdr:colOff>257175</xdr:colOff>
      <xdr:row>0</xdr:row>
      <xdr:rowOff>133350</xdr:rowOff>
    </xdr:from>
    <xdr:to>
      <xdr:col>26</xdr:col>
      <xdr:colOff>122960</xdr:colOff>
      <xdr:row>1</xdr:row>
      <xdr:rowOff>157162</xdr:rowOff>
    </xdr:to>
    <xdr:sp macro="" textlink="">
      <xdr:nvSpPr>
        <xdr:cNvPr id="2" name="Text Box 3"/>
        <xdr:cNvSpPr txBox="1">
          <a:spLocks noChangeArrowheads="1"/>
        </xdr:cNvSpPr>
      </xdr:nvSpPr>
      <xdr:spPr bwMode="auto">
        <a:xfrm>
          <a:off x="43253025" y="133350"/>
          <a:ext cx="865910" cy="3095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24</xdr:col>
      <xdr:colOff>257175</xdr:colOff>
      <xdr:row>0</xdr:row>
      <xdr:rowOff>133350</xdr:rowOff>
    </xdr:from>
    <xdr:to>
      <xdr:col>26</xdr:col>
      <xdr:colOff>134866</xdr:colOff>
      <xdr:row>0</xdr:row>
      <xdr:rowOff>438150</xdr:rowOff>
    </xdr:to>
    <xdr:sp macro="" textlink="">
      <xdr:nvSpPr>
        <xdr:cNvPr id="7" name="Text Box 3"/>
        <xdr:cNvSpPr txBox="1">
          <a:spLocks noChangeArrowheads="1"/>
        </xdr:cNvSpPr>
      </xdr:nvSpPr>
      <xdr:spPr bwMode="auto">
        <a:xfrm>
          <a:off x="15411450" y="133350"/>
          <a:ext cx="877816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0</xdr:col>
      <xdr:colOff>142876</xdr:colOff>
      <xdr:row>67</xdr:row>
      <xdr:rowOff>205053</xdr:rowOff>
    </xdr:from>
    <xdr:ext cx="2000251" cy="1202531"/>
    <xdr:sp macro="" textlink="">
      <xdr:nvSpPr>
        <xdr:cNvPr id="6" name="pole tekstowe 5"/>
        <xdr:cNvSpPr txBox="1"/>
      </xdr:nvSpPr>
      <xdr:spPr>
        <a:xfrm>
          <a:off x="142876" y="18376636"/>
          <a:ext cx="2000251" cy="1202531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squar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Formy zajęć: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W-</a:t>
          </a:r>
          <a:r>
            <a:rPr kumimoji="0" lang="pl-PL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 wykład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C</a:t>
          </a:r>
          <a:r>
            <a:rPr kumimoji="0" lang="pl-PL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- ćwieczenia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CP</a:t>
          </a:r>
          <a:r>
            <a:rPr kumimoji="0" lang="pl-PL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- ćwiczenia p[raktyczne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P</a:t>
          </a:r>
          <a:r>
            <a:rPr kumimoji="0" lang="pl-PL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-praktyki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L</a:t>
          </a:r>
          <a:r>
            <a:rPr kumimoji="0" lang="pl-PL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- laboratoria</a:t>
          </a:r>
        </a:p>
      </xdr:txBody>
    </xdr:sp>
    <xdr:clientData/>
  </xdr:oneCellAnchor>
  <xdr:twoCellAnchor editAs="oneCell">
    <xdr:from>
      <xdr:col>29</xdr:col>
      <xdr:colOff>267757</xdr:colOff>
      <xdr:row>4</xdr:row>
      <xdr:rowOff>16934</xdr:rowOff>
    </xdr:from>
    <xdr:to>
      <xdr:col>30</xdr:col>
      <xdr:colOff>484117</xdr:colOff>
      <xdr:row>5</xdr:row>
      <xdr:rowOff>67734</xdr:rowOff>
    </xdr:to>
    <xdr:sp macro="" textlink="">
      <xdr:nvSpPr>
        <xdr:cNvPr id="12" name="Text Box 3"/>
        <xdr:cNvSpPr txBox="1">
          <a:spLocks noChangeArrowheads="1"/>
        </xdr:cNvSpPr>
      </xdr:nvSpPr>
      <xdr:spPr bwMode="auto">
        <a:xfrm>
          <a:off x="16544924" y="1646767"/>
          <a:ext cx="872526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22</xdr:col>
      <xdr:colOff>214311</xdr:colOff>
      <xdr:row>1</xdr:row>
      <xdr:rowOff>119061</xdr:rowOff>
    </xdr:from>
    <xdr:ext cx="4167187" cy="1035845"/>
    <xdr:sp macro="" textlink="">
      <xdr:nvSpPr>
        <xdr:cNvPr id="13" name="pole tekstowe 12"/>
        <xdr:cNvSpPr txBox="1"/>
      </xdr:nvSpPr>
      <xdr:spPr>
        <a:xfrm>
          <a:off x="13227842" y="666749"/>
          <a:ext cx="4167187" cy="10358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n-US" sz="900"/>
            <a:t>Rozporządzenie Ministra Nauki i Szkolnictwa Wyższego z dnia 9 maja 2012 roku w sprawie standardów kształcenia dla kierunku studiów: lekarskiego, lekarsko-dentystycznego, farmacji, pielęgniarstwa  (Dz. U.2012 poz. 631)</a:t>
          </a:r>
          <a:r>
            <a:rPr lang="pl-PL" sz="900" baseline="0"/>
            <a:t> oraz</a:t>
          </a:r>
        </a:p>
        <a:p>
          <a:pPr algn="ctr"/>
          <a:r>
            <a:rPr lang="en-US" sz="900"/>
            <a:t>Rozporządzenie Ministra Nauki i Szkolnictwa Wyższego z dnia 17 listopada 2016 r. </a:t>
          </a:r>
        </a:p>
        <a:p>
          <a:pPr algn="ctr"/>
          <a:r>
            <a:rPr lang="en-US" sz="900"/>
            <a:t>zmieniające rozporządzenie w sprawie standardów kształcenia dla kierunków studiów: lekarskiego,  lekarsko-dentystycznego, farmacji, pielęgniarstwa i położnictwa </a:t>
          </a:r>
        </a:p>
        <a:p>
          <a:pPr algn="ctr"/>
          <a:endParaRPr lang="en-US" sz="1050"/>
        </a:p>
      </xdr:txBody>
    </xdr:sp>
    <xdr:clientData/>
  </xdr:oneCellAnchor>
  <xdr:twoCellAnchor>
    <xdr:from>
      <xdr:col>25</xdr:col>
      <xdr:colOff>119062</xdr:colOff>
      <xdr:row>0</xdr:row>
      <xdr:rowOff>59532</xdr:rowOff>
    </xdr:from>
    <xdr:to>
      <xdr:col>29</xdr:col>
      <xdr:colOff>600075</xdr:colOff>
      <xdr:row>0</xdr:row>
      <xdr:rowOff>535782</xdr:rowOff>
    </xdr:to>
    <xdr:sp macro="" textlink="">
      <xdr:nvSpPr>
        <xdr:cNvPr id="14" name="pole tekstowe 13"/>
        <xdr:cNvSpPr txBox="1"/>
      </xdr:nvSpPr>
      <xdr:spPr>
        <a:xfrm>
          <a:off x="14489906" y="59532"/>
          <a:ext cx="2290763" cy="4762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indent="0" algn="ctr"/>
          <a:r>
            <a:rPr lang="pl-PL" sz="900">
              <a:solidFill>
                <a:schemeClr val="tx1"/>
              </a:solidFill>
              <a:latin typeface="+mn-lt"/>
              <a:ea typeface="+mn-ea"/>
              <a:cs typeface="+mn-cs"/>
            </a:rPr>
            <a:t>Obowiązuje dla kształcenia</a:t>
          </a:r>
        </a:p>
        <a:p>
          <a:pPr marL="0" indent="0" algn="ctr"/>
          <a:r>
            <a:rPr lang="pl-PL" sz="900">
              <a:solidFill>
                <a:schemeClr val="tx1"/>
              </a:solidFill>
              <a:latin typeface="+mn-lt"/>
              <a:ea typeface="+mn-ea"/>
              <a:cs typeface="+mn-cs"/>
            </a:rPr>
            <a:t>od roku akademickiego 2017/2018</a:t>
          </a:r>
          <a:endParaRPr lang="en-US" sz="900">
            <a:solidFill>
              <a:schemeClr val="tx1"/>
            </a:solidFill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24</xdr:col>
      <xdr:colOff>257175</xdr:colOff>
      <xdr:row>0</xdr:row>
      <xdr:rowOff>133350</xdr:rowOff>
    </xdr:from>
    <xdr:to>
      <xdr:col>26</xdr:col>
      <xdr:colOff>18185</xdr:colOff>
      <xdr:row>1</xdr:row>
      <xdr:rowOff>338137</xdr:rowOff>
    </xdr:to>
    <xdr:sp macro="" textlink="">
      <xdr:nvSpPr>
        <xdr:cNvPr id="2" name="Text Box 3"/>
        <xdr:cNvSpPr txBox="1">
          <a:spLocks noChangeArrowheads="1"/>
        </xdr:cNvSpPr>
      </xdr:nvSpPr>
      <xdr:spPr bwMode="auto">
        <a:xfrm>
          <a:off x="43253025" y="133350"/>
          <a:ext cx="865910" cy="3095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1</xdr:col>
      <xdr:colOff>0</xdr:colOff>
      <xdr:row>53</xdr:row>
      <xdr:rowOff>0</xdr:rowOff>
    </xdr:from>
    <xdr:ext cx="2000251" cy="1202531"/>
    <xdr:sp macro="" textlink="">
      <xdr:nvSpPr>
        <xdr:cNvPr id="7" name="pole tekstowe 6"/>
        <xdr:cNvSpPr txBox="1"/>
      </xdr:nvSpPr>
      <xdr:spPr>
        <a:xfrm>
          <a:off x="464344" y="14978063"/>
          <a:ext cx="2000251" cy="1202531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squar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Formy zajęć: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W-</a:t>
          </a:r>
          <a:r>
            <a:rPr kumimoji="0" lang="pl-PL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 wykład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C</a:t>
          </a:r>
          <a:r>
            <a:rPr kumimoji="0" lang="pl-PL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- ćwieczenia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CP</a:t>
          </a:r>
          <a:r>
            <a:rPr kumimoji="0" lang="pl-PL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- ćwiczenia p[raktyczne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P</a:t>
          </a:r>
          <a:r>
            <a:rPr kumimoji="0" lang="pl-PL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-praktyki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L</a:t>
          </a:r>
          <a:r>
            <a:rPr kumimoji="0" lang="pl-PL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- laboratoria</a:t>
          </a:r>
        </a:p>
      </xdr:txBody>
    </xdr:sp>
    <xdr:clientData/>
  </xdr:oneCellAnchor>
  <xdr:twoCellAnchor editAs="oneCell">
    <xdr:from>
      <xdr:col>24</xdr:col>
      <xdr:colOff>0</xdr:colOff>
      <xdr:row>0</xdr:row>
      <xdr:rowOff>133350</xdr:rowOff>
    </xdr:from>
    <xdr:to>
      <xdr:col>25</xdr:col>
      <xdr:colOff>211066</xdr:colOff>
      <xdr:row>1</xdr:row>
      <xdr:rowOff>242887</xdr:rowOff>
    </xdr:to>
    <xdr:sp macro="" textlink="">
      <xdr:nvSpPr>
        <xdr:cNvPr id="8" name="Text Box 3"/>
        <xdr:cNvSpPr txBox="1">
          <a:spLocks noChangeArrowheads="1"/>
        </xdr:cNvSpPr>
      </xdr:nvSpPr>
      <xdr:spPr bwMode="auto">
        <a:xfrm>
          <a:off x="14154150" y="133350"/>
          <a:ext cx="865910" cy="5667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24</xdr:col>
      <xdr:colOff>0</xdr:colOff>
      <xdr:row>0</xdr:row>
      <xdr:rowOff>133350</xdr:rowOff>
    </xdr:from>
    <xdr:to>
      <xdr:col>25</xdr:col>
      <xdr:colOff>222972</xdr:colOff>
      <xdr:row>0</xdr:row>
      <xdr:rowOff>438150</xdr:rowOff>
    </xdr:to>
    <xdr:sp macro="" textlink="">
      <xdr:nvSpPr>
        <xdr:cNvPr id="9" name="Text Box 3"/>
        <xdr:cNvSpPr txBox="1">
          <a:spLocks noChangeArrowheads="1"/>
        </xdr:cNvSpPr>
      </xdr:nvSpPr>
      <xdr:spPr bwMode="auto">
        <a:xfrm>
          <a:off x="14154150" y="133350"/>
          <a:ext cx="877816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24</xdr:col>
      <xdr:colOff>0</xdr:colOff>
      <xdr:row>0</xdr:row>
      <xdr:rowOff>133350</xdr:rowOff>
    </xdr:from>
    <xdr:to>
      <xdr:col>25</xdr:col>
      <xdr:colOff>222973</xdr:colOff>
      <xdr:row>0</xdr:row>
      <xdr:rowOff>438150</xdr:rowOff>
    </xdr:to>
    <xdr:sp macro="" textlink="">
      <xdr:nvSpPr>
        <xdr:cNvPr id="10" name="Text Box 3"/>
        <xdr:cNvSpPr txBox="1">
          <a:spLocks noChangeArrowheads="1"/>
        </xdr:cNvSpPr>
      </xdr:nvSpPr>
      <xdr:spPr bwMode="auto">
        <a:xfrm>
          <a:off x="14154150" y="133350"/>
          <a:ext cx="877817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24</xdr:col>
      <xdr:colOff>504825</xdr:colOff>
      <xdr:row>0</xdr:row>
      <xdr:rowOff>0</xdr:rowOff>
    </xdr:from>
    <xdr:to>
      <xdr:col>30</xdr:col>
      <xdr:colOff>381000</xdr:colOff>
      <xdr:row>1</xdr:row>
      <xdr:rowOff>0</xdr:rowOff>
    </xdr:to>
    <xdr:sp macro="" textlink="">
      <xdr:nvSpPr>
        <xdr:cNvPr id="12" name="pole tekstowe 11"/>
        <xdr:cNvSpPr txBox="1"/>
      </xdr:nvSpPr>
      <xdr:spPr>
        <a:xfrm>
          <a:off x="16440150" y="0"/>
          <a:ext cx="3048000" cy="4572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indent="0" algn="ctr"/>
          <a:r>
            <a:rPr lang="pl-PL" sz="900">
              <a:solidFill>
                <a:schemeClr val="tx1"/>
              </a:solidFill>
              <a:latin typeface="+mn-lt"/>
              <a:ea typeface="+mn-ea"/>
              <a:cs typeface="+mn-cs"/>
            </a:rPr>
            <a:t>Obowiązuje dla kształcenia</a:t>
          </a:r>
        </a:p>
        <a:p>
          <a:pPr marL="0" indent="0" algn="ctr"/>
          <a:r>
            <a:rPr lang="pl-PL" sz="900">
              <a:solidFill>
                <a:schemeClr val="tx1"/>
              </a:solidFill>
              <a:latin typeface="+mn-lt"/>
              <a:ea typeface="+mn-ea"/>
              <a:cs typeface="+mn-cs"/>
            </a:rPr>
            <a:t>od roku akademickiego 2017/2018</a:t>
          </a:r>
          <a:endParaRPr lang="en-US" sz="900">
            <a:solidFill>
              <a:schemeClr val="tx1"/>
            </a:solidFill>
            <a:latin typeface="+mn-lt"/>
            <a:ea typeface="+mn-ea"/>
            <a:cs typeface="+mn-cs"/>
          </a:endParaRPr>
        </a:p>
      </xdr:txBody>
    </xdr:sp>
    <xdr:clientData/>
  </xdr:twoCellAnchor>
  <xdr:oneCellAnchor>
    <xdr:from>
      <xdr:col>22</xdr:col>
      <xdr:colOff>380999</xdr:colOff>
      <xdr:row>1</xdr:row>
      <xdr:rowOff>130968</xdr:rowOff>
    </xdr:from>
    <xdr:ext cx="4167187" cy="1035845"/>
    <xdr:sp macro="" textlink="">
      <xdr:nvSpPr>
        <xdr:cNvPr id="14" name="pole tekstowe 13"/>
        <xdr:cNvSpPr txBox="1"/>
      </xdr:nvSpPr>
      <xdr:spPr>
        <a:xfrm>
          <a:off x="14358937" y="583406"/>
          <a:ext cx="4167187" cy="1035845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square" rtlCol="0" anchor="t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Rozporządzenie Ministra Nauki i Szkolnictwa Wyższego z dnia 9 maja 2012 roku w sprawie standardów kształcenia dla kierunku studiów: lekarskiego, lekarsko-dentystycznego, farmacji, pielęgniarstwa  (Dz. U.2012 poz. 631)</a:t>
          </a:r>
          <a:r>
            <a:rPr kumimoji="0" lang="pl-PL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oraz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Rozporządzenie Ministra Nauki i Szkolnictwa Wyższego z dnia 17 listopada 2016 r.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zmieniające rozporządzenie w sprawie standardów kształcenia dla kierunków studiów: lekarskiego,  lekarsko-dentystycznego, farmacji, pielęgniarstwa i położnictwa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05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24</xdr:col>
      <xdr:colOff>257175</xdr:colOff>
      <xdr:row>0</xdr:row>
      <xdr:rowOff>133350</xdr:rowOff>
    </xdr:from>
    <xdr:to>
      <xdr:col>25</xdr:col>
      <xdr:colOff>382517</xdr:colOff>
      <xdr:row>1</xdr:row>
      <xdr:rowOff>242887</xdr:rowOff>
    </xdr:to>
    <xdr:sp macro="" textlink="">
      <xdr:nvSpPr>
        <xdr:cNvPr id="2" name="Text Box 3"/>
        <xdr:cNvSpPr txBox="1">
          <a:spLocks noChangeArrowheads="1"/>
        </xdr:cNvSpPr>
      </xdr:nvSpPr>
      <xdr:spPr bwMode="auto">
        <a:xfrm>
          <a:off x="43253025" y="133350"/>
          <a:ext cx="865910" cy="3095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25</xdr:col>
      <xdr:colOff>257175</xdr:colOff>
      <xdr:row>0</xdr:row>
      <xdr:rowOff>133350</xdr:rowOff>
    </xdr:from>
    <xdr:to>
      <xdr:col>27</xdr:col>
      <xdr:colOff>30091</xdr:colOff>
      <xdr:row>0</xdr:row>
      <xdr:rowOff>438150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15411450" y="133350"/>
          <a:ext cx="877816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1</xdr:col>
      <xdr:colOff>0</xdr:colOff>
      <xdr:row>55</xdr:row>
      <xdr:rowOff>166687</xdr:rowOff>
    </xdr:from>
    <xdr:ext cx="2000251" cy="1202531"/>
    <xdr:sp macro="" textlink="">
      <xdr:nvSpPr>
        <xdr:cNvPr id="7" name="pole tekstowe 6"/>
        <xdr:cNvSpPr txBox="1"/>
      </xdr:nvSpPr>
      <xdr:spPr>
        <a:xfrm>
          <a:off x="416719" y="17668875"/>
          <a:ext cx="2000251" cy="1202531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squar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Formy zajęć: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W-</a:t>
          </a:r>
          <a:r>
            <a:rPr kumimoji="0" lang="pl-PL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 wykład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C</a:t>
          </a:r>
          <a:r>
            <a:rPr kumimoji="0" lang="pl-PL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- ćwieczenia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CP</a:t>
          </a:r>
          <a:r>
            <a:rPr kumimoji="0" lang="pl-PL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- ćwiczenia praktyczne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P</a:t>
          </a:r>
          <a:r>
            <a:rPr kumimoji="0" lang="pl-PL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-praktyki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L</a:t>
          </a:r>
          <a:r>
            <a:rPr kumimoji="0" lang="pl-PL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- laboratoria</a:t>
          </a:r>
        </a:p>
      </xdr:txBody>
    </xdr:sp>
    <xdr:clientData/>
  </xdr:oneCellAnchor>
  <xdr:twoCellAnchor editAs="oneCell">
    <xdr:from>
      <xdr:col>24</xdr:col>
      <xdr:colOff>0</xdr:colOff>
      <xdr:row>0</xdr:row>
      <xdr:rowOff>133350</xdr:rowOff>
    </xdr:from>
    <xdr:to>
      <xdr:col>25</xdr:col>
      <xdr:colOff>130104</xdr:colOff>
      <xdr:row>1</xdr:row>
      <xdr:rowOff>252412</xdr:rowOff>
    </xdr:to>
    <xdr:sp macro="" textlink="">
      <xdr:nvSpPr>
        <xdr:cNvPr id="8" name="Text Box 3"/>
        <xdr:cNvSpPr txBox="1">
          <a:spLocks noChangeArrowheads="1"/>
        </xdr:cNvSpPr>
      </xdr:nvSpPr>
      <xdr:spPr bwMode="auto">
        <a:xfrm>
          <a:off x="15078075" y="133350"/>
          <a:ext cx="865910" cy="6619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24</xdr:col>
      <xdr:colOff>0</xdr:colOff>
      <xdr:row>0</xdr:row>
      <xdr:rowOff>133350</xdr:rowOff>
    </xdr:from>
    <xdr:to>
      <xdr:col>25</xdr:col>
      <xdr:colOff>130104</xdr:colOff>
      <xdr:row>1</xdr:row>
      <xdr:rowOff>157162</xdr:rowOff>
    </xdr:to>
    <xdr:sp macro="" textlink="">
      <xdr:nvSpPr>
        <xdr:cNvPr id="9" name="Text Box 3"/>
        <xdr:cNvSpPr txBox="1">
          <a:spLocks noChangeArrowheads="1"/>
        </xdr:cNvSpPr>
      </xdr:nvSpPr>
      <xdr:spPr bwMode="auto">
        <a:xfrm>
          <a:off x="14820900" y="133350"/>
          <a:ext cx="868291" cy="5667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24</xdr:col>
      <xdr:colOff>0</xdr:colOff>
      <xdr:row>0</xdr:row>
      <xdr:rowOff>133350</xdr:rowOff>
    </xdr:from>
    <xdr:to>
      <xdr:col>25</xdr:col>
      <xdr:colOff>142010</xdr:colOff>
      <xdr:row>0</xdr:row>
      <xdr:rowOff>438150</xdr:rowOff>
    </xdr:to>
    <xdr:sp macro="" textlink="">
      <xdr:nvSpPr>
        <xdr:cNvPr id="10" name="Text Box 3"/>
        <xdr:cNvSpPr txBox="1">
          <a:spLocks noChangeArrowheads="1"/>
        </xdr:cNvSpPr>
      </xdr:nvSpPr>
      <xdr:spPr bwMode="auto">
        <a:xfrm>
          <a:off x="14820900" y="133350"/>
          <a:ext cx="880197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24</xdr:col>
      <xdr:colOff>0</xdr:colOff>
      <xdr:row>0</xdr:row>
      <xdr:rowOff>133350</xdr:rowOff>
    </xdr:from>
    <xdr:to>
      <xdr:col>25</xdr:col>
      <xdr:colOff>142011</xdr:colOff>
      <xdr:row>0</xdr:row>
      <xdr:rowOff>438150</xdr:rowOff>
    </xdr:to>
    <xdr:sp macro="" textlink="">
      <xdr:nvSpPr>
        <xdr:cNvPr id="11" name="Text Box 3"/>
        <xdr:cNvSpPr txBox="1">
          <a:spLocks noChangeArrowheads="1"/>
        </xdr:cNvSpPr>
      </xdr:nvSpPr>
      <xdr:spPr bwMode="auto">
        <a:xfrm>
          <a:off x="14820900" y="133350"/>
          <a:ext cx="880198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24</xdr:col>
      <xdr:colOff>207169</xdr:colOff>
      <xdr:row>1</xdr:row>
      <xdr:rowOff>-1</xdr:rowOff>
    </xdr:from>
    <xdr:to>
      <xdr:col>30</xdr:col>
      <xdr:colOff>0</xdr:colOff>
      <xdr:row>2</xdr:row>
      <xdr:rowOff>0</xdr:rowOff>
    </xdr:to>
    <xdr:sp macro="" textlink="">
      <xdr:nvSpPr>
        <xdr:cNvPr id="13" name="pole tekstowe 12"/>
        <xdr:cNvSpPr txBox="1"/>
      </xdr:nvSpPr>
      <xdr:spPr>
        <a:xfrm>
          <a:off x="15971044" y="547687"/>
          <a:ext cx="3436144" cy="54768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indent="0" algn="ctr"/>
          <a:r>
            <a:rPr lang="pl-PL" sz="900">
              <a:solidFill>
                <a:schemeClr val="tx1"/>
              </a:solidFill>
              <a:latin typeface="+mn-lt"/>
              <a:ea typeface="+mn-ea"/>
              <a:cs typeface="+mn-cs"/>
            </a:rPr>
            <a:t>Obowiązuje dla kształcenia</a:t>
          </a:r>
        </a:p>
        <a:p>
          <a:pPr marL="0" indent="0" algn="ctr"/>
          <a:r>
            <a:rPr lang="pl-PL" sz="900">
              <a:solidFill>
                <a:schemeClr val="tx1"/>
              </a:solidFill>
              <a:latin typeface="+mn-lt"/>
              <a:ea typeface="+mn-ea"/>
              <a:cs typeface="+mn-cs"/>
            </a:rPr>
            <a:t>od roku akademickiego 2017/2018</a:t>
          </a:r>
          <a:endParaRPr lang="en-US" sz="900">
            <a:solidFill>
              <a:schemeClr val="tx1"/>
            </a:solidFill>
            <a:latin typeface="+mn-lt"/>
            <a:ea typeface="+mn-ea"/>
            <a:cs typeface="+mn-cs"/>
          </a:endParaRPr>
        </a:p>
      </xdr:txBody>
    </xdr:sp>
    <xdr:clientData/>
  </xdr:twoCellAnchor>
  <xdr:oneCellAnchor>
    <xdr:from>
      <xdr:col>24</xdr:col>
      <xdr:colOff>273844</xdr:colOff>
      <xdr:row>1</xdr:row>
      <xdr:rowOff>452437</xdr:rowOff>
    </xdr:from>
    <xdr:ext cx="4167187" cy="1035845"/>
    <xdr:sp macro="" textlink="">
      <xdr:nvSpPr>
        <xdr:cNvPr id="14" name="pole tekstowe 13"/>
        <xdr:cNvSpPr txBox="1"/>
      </xdr:nvSpPr>
      <xdr:spPr>
        <a:xfrm>
          <a:off x="14930438" y="1000125"/>
          <a:ext cx="4167187" cy="10358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n-US" sz="900"/>
            <a:t>Rozporządzenie Ministra Nauki i Szkolnictwa Wyższego z dnia 9 maja 2012 roku w sprawie standardów kształcenia dla kierunku studiów: lekarskiego, lekarsko-dentystycznego, farmacji, pielęgniarstwa  (Dz. U.2012 poz. 631)</a:t>
          </a:r>
          <a:r>
            <a:rPr lang="pl-PL" sz="900" baseline="0"/>
            <a:t> oraz</a:t>
          </a:r>
        </a:p>
        <a:p>
          <a:pPr algn="ctr"/>
          <a:r>
            <a:rPr lang="en-US" sz="900"/>
            <a:t>Rozporządzenie Ministra Nauki i Szkolnictwa Wyższego z dnia 17 listopada 2016 r. </a:t>
          </a:r>
        </a:p>
        <a:p>
          <a:pPr algn="ctr"/>
          <a:r>
            <a:rPr lang="en-US" sz="900"/>
            <a:t>zmieniające rozporządzenie w sprawie standardów kształcenia dla kierunków studiów: lekarskiego,  lekarsko-dentystycznego, farmacji, pielęgniarstwa i położnictwa </a:t>
          </a:r>
        </a:p>
        <a:p>
          <a:pPr algn="ctr"/>
          <a:endParaRPr lang="en-US" sz="1050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257175</xdr:colOff>
      <xdr:row>0</xdr:row>
      <xdr:rowOff>133350</xdr:rowOff>
    </xdr:from>
    <xdr:to>
      <xdr:col>27</xdr:col>
      <xdr:colOff>192017</xdr:colOff>
      <xdr:row>0</xdr:row>
      <xdr:rowOff>438150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15411450" y="133350"/>
          <a:ext cx="877816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0</xdr:col>
      <xdr:colOff>345281</xdr:colOff>
      <xdr:row>74</xdr:row>
      <xdr:rowOff>214314</xdr:rowOff>
    </xdr:from>
    <xdr:ext cx="2405062" cy="1190624"/>
    <xdr:sp macro="" textlink="">
      <xdr:nvSpPr>
        <xdr:cNvPr id="7" name="pole tekstowe 6"/>
        <xdr:cNvSpPr txBox="1"/>
      </xdr:nvSpPr>
      <xdr:spPr>
        <a:xfrm>
          <a:off x="345281" y="26467595"/>
          <a:ext cx="2405062" cy="1190624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squar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Formy zajęć: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W-</a:t>
          </a:r>
          <a:r>
            <a:rPr kumimoji="0" lang="pl-PL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 wykład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C</a:t>
          </a:r>
          <a:r>
            <a:rPr kumimoji="0" lang="pl-PL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- ćwieczenia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CP</a:t>
          </a:r>
          <a:r>
            <a:rPr kumimoji="0" lang="pl-PL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- ćwiczenia p[raktyczne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P</a:t>
          </a:r>
          <a:r>
            <a:rPr kumimoji="0" lang="pl-PL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-praktyki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L</a:t>
          </a:r>
          <a:r>
            <a:rPr kumimoji="0" lang="pl-PL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- laboratoria</a:t>
          </a:r>
        </a:p>
      </xdr:txBody>
    </xdr:sp>
    <xdr:clientData/>
  </xdr:oneCellAnchor>
  <xdr:twoCellAnchor editAs="oneCell">
    <xdr:from>
      <xdr:col>24</xdr:col>
      <xdr:colOff>0</xdr:colOff>
      <xdr:row>0</xdr:row>
      <xdr:rowOff>133350</xdr:rowOff>
    </xdr:from>
    <xdr:to>
      <xdr:col>25</xdr:col>
      <xdr:colOff>132486</xdr:colOff>
      <xdr:row>1</xdr:row>
      <xdr:rowOff>319087</xdr:rowOff>
    </xdr:to>
    <xdr:sp macro="" textlink="">
      <xdr:nvSpPr>
        <xdr:cNvPr id="8" name="Text Box 3"/>
        <xdr:cNvSpPr txBox="1">
          <a:spLocks noChangeArrowheads="1"/>
        </xdr:cNvSpPr>
      </xdr:nvSpPr>
      <xdr:spPr bwMode="auto">
        <a:xfrm>
          <a:off x="14925675" y="133350"/>
          <a:ext cx="858767" cy="6524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24</xdr:col>
      <xdr:colOff>257175</xdr:colOff>
      <xdr:row>0</xdr:row>
      <xdr:rowOff>133350</xdr:rowOff>
    </xdr:from>
    <xdr:to>
      <xdr:col>25</xdr:col>
      <xdr:colOff>392041</xdr:colOff>
      <xdr:row>0</xdr:row>
      <xdr:rowOff>442913</xdr:rowOff>
    </xdr:to>
    <xdr:sp macro="" textlink="">
      <xdr:nvSpPr>
        <xdr:cNvPr id="9" name="Text Box 3"/>
        <xdr:cNvSpPr txBox="1">
          <a:spLocks noChangeArrowheads="1"/>
        </xdr:cNvSpPr>
      </xdr:nvSpPr>
      <xdr:spPr bwMode="auto">
        <a:xfrm>
          <a:off x="15659100" y="133350"/>
          <a:ext cx="858766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24</xdr:col>
      <xdr:colOff>0</xdr:colOff>
      <xdr:row>0</xdr:row>
      <xdr:rowOff>133350</xdr:rowOff>
    </xdr:from>
    <xdr:to>
      <xdr:col>25</xdr:col>
      <xdr:colOff>137248</xdr:colOff>
      <xdr:row>1</xdr:row>
      <xdr:rowOff>328612</xdr:rowOff>
    </xdr:to>
    <xdr:sp macro="" textlink="">
      <xdr:nvSpPr>
        <xdr:cNvPr id="10" name="Text Box 3"/>
        <xdr:cNvSpPr txBox="1">
          <a:spLocks noChangeArrowheads="1"/>
        </xdr:cNvSpPr>
      </xdr:nvSpPr>
      <xdr:spPr bwMode="auto">
        <a:xfrm>
          <a:off x="14668500" y="133350"/>
          <a:ext cx="863529" cy="6619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24</xdr:col>
      <xdr:colOff>0</xdr:colOff>
      <xdr:row>0</xdr:row>
      <xdr:rowOff>133350</xdr:rowOff>
    </xdr:from>
    <xdr:to>
      <xdr:col>25</xdr:col>
      <xdr:colOff>137248</xdr:colOff>
      <xdr:row>1</xdr:row>
      <xdr:rowOff>233362</xdr:rowOff>
    </xdr:to>
    <xdr:sp macro="" textlink="">
      <xdr:nvSpPr>
        <xdr:cNvPr id="11" name="Text Box 3"/>
        <xdr:cNvSpPr txBox="1">
          <a:spLocks noChangeArrowheads="1"/>
        </xdr:cNvSpPr>
      </xdr:nvSpPr>
      <xdr:spPr bwMode="auto">
        <a:xfrm>
          <a:off x="14668500" y="133350"/>
          <a:ext cx="863529" cy="5667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24</xdr:col>
      <xdr:colOff>0</xdr:colOff>
      <xdr:row>0</xdr:row>
      <xdr:rowOff>133350</xdr:rowOff>
    </xdr:from>
    <xdr:to>
      <xdr:col>25</xdr:col>
      <xdr:colOff>149154</xdr:colOff>
      <xdr:row>0</xdr:row>
      <xdr:rowOff>442913</xdr:rowOff>
    </xdr:to>
    <xdr:sp macro="" textlink="">
      <xdr:nvSpPr>
        <xdr:cNvPr id="12" name="Text Box 3"/>
        <xdr:cNvSpPr txBox="1">
          <a:spLocks noChangeArrowheads="1"/>
        </xdr:cNvSpPr>
      </xdr:nvSpPr>
      <xdr:spPr bwMode="auto">
        <a:xfrm>
          <a:off x="14668500" y="133350"/>
          <a:ext cx="875435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24</xdr:col>
      <xdr:colOff>0</xdr:colOff>
      <xdr:row>0</xdr:row>
      <xdr:rowOff>133350</xdr:rowOff>
    </xdr:from>
    <xdr:to>
      <xdr:col>25</xdr:col>
      <xdr:colOff>149155</xdr:colOff>
      <xdr:row>0</xdr:row>
      <xdr:rowOff>442913</xdr:rowOff>
    </xdr:to>
    <xdr:sp macro="" textlink="">
      <xdr:nvSpPr>
        <xdr:cNvPr id="13" name="Text Box 3"/>
        <xdr:cNvSpPr txBox="1">
          <a:spLocks noChangeArrowheads="1"/>
        </xdr:cNvSpPr>
      </xdr:nvSpPr>
      <xdr:spPr bwMode="auto">
        <a:xfrm>
          <a:off x="14668500" y="133350"/>
          <a:ext cx="875436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24</xdr:col>
      <xdr:colOff>59531</xdr:colOff>
      <xdr:row>0</xdr:row>
      <xdr:rowOff>166687</xdr:rowOff>
    </xdr:from>
    <xdr:to>
      <xdr:col>30</xdr:col>
      <xdr:colOff>59531</xdr:colOff>
      <xdr:row>2</xdr:row>
      <xdr:rowOff>202407</xdr:rowOff>
    </xdr:to>
    <xdr:sp macro="" textlink="">
      <xdr:nvSpPr>
        <xdr:cNvPr id="15" name="pole tekstowe 14"/>
        <xdr:cNvSpPr txBox="1"/>
      </xdr:nvSpPr>
      <xdr:spPr>
        <a:xfrm>
          <a:off x="16609219" y="166687"/>
          <a:ext cx="3345656" cy="89297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indent="0" algn="ctr"/>
          <a:r>
            <a:rPr lang="pl-PL" sz="900">
              <a:solidFill>
                <a:schemeClr val="tx1"/>
              </a:solidFill>
              <a:latin typeface="+mn-lt"/>
              <a:ea typeface="+mn-ea"/>
              <a:cs typeface="+mn-cs"/>
            </a:rPr>
            <a:t>Obowiązuje dla kształcenia</a:t>
          </a:r>
        </a:p>
        <a:p>
          <a:pPr marL="0" indent="0" algn="ctr"/>
          <a:r>
            <a:rPr lang="pl-PL" sz="900">
              <a:solidFill>
                <a:schemeClr val="tx1"/>
              </a:solidFill>
              <a:latin typeface="+mn-lt"/>
              <a:ea typeface="+mn-ea"/>
              <a:cs typeface="+mn-cs"/>
            </a:rPr>
            <a:t>od roku akademickiego </a:t>
          </a:r>
          <a:r>
            <a:rPr lang="pl-PL" sz="900" b="1">
              <a:solidFill>
                <a:schemeClr val="tx1"/>
              </a:solidFill>
              <a:latin typeface="+mn-lt"/>
              <a:ea typeface="+mn-ea"/>
              <a:cs typeface="+mn-cs"/>
            </a:rPr>
            <a:t>2017/2018</a:t>
          </a:r>
          <a:endParaRPr lang="en-US" sz="900" b="1">
            <a:solidFill>
              <a:schemeClr val="tx1"/>
            </a:solidFill>
            <a:latin typeface="+mn-lt"/>
            <a:ea typeface="+mn-ea"/>
            <a:cs typeface="+mn-cs"/>
          </a:endParaRPr>
        </a:p>
      </xdr:txBody>
    </xdr:sp>
    <xdr:clientData/>
  </xdr:twoCellAnchor>
  <xdr:oneCellAnchor>
    <xdr:from>
      <xdr:col>23</xdr:col>
      <xdr:colOff>154782</xdr:colOff>
      <xdr:row>1</xdr:row>
      <xdr:rowOff>107156</xdr:rowOff>
    </xdr:from>
    <xdr:ext cx="4381500" cy="1178719"/>
    <xdr:sp macro="" textlink="">
      <xdr:nvSpPr>
        <xdr:cNvPr id="16" name="pole tekstowe 15"/>
        <xdr:cNvSpPr txBox="1"/>
      </xdr:nvSpPr>
      <xdr:spPr>
        <a:xfrm>
          <a:off x="16180595" y="583406"/>
          <a:ext cx="4381500" cy="1178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n-US" sz="900"/>
            <a:t>Rozporządzenie Ministra Nauki i Szkolnictwa Wyższego z dnia 9 maja 2012 roku w sprawie standardów kształcenia dla kierunku studiów: lekarskiego, lekarsko-dentystycznego, farmacji, pielęgniarstwa  (Dz. U.2012 poz. 631)</a:t>
          </a:r>
          <a:r>
            <a:rPr lang="pl-PL" sz="900" baseline="0"/>
            <a:t> oraz</a:t>
          </a:r>
        </a:p>
        <a:p>
          <a:pPr algn="ctr"/>
          <a:r>
            <a:rPr lang="en-US" sz="900"/>
            <a:t>Rozporządzenie Ministra Nauki i Szkolnictwa Wyższego z dnia 17 listopada 2016 r. </a:t>
          </a:r>
        </a:p>
        <a:p>
          <a:pPr algn="ctr"/>
          <a:r>
            <a:rPr lang="en-US" sz="900"/>
            <a:t>zmieniające rozporządzenie w sprawie standardów kształcenia dla kierunków studiów: lekarskiego,  lekarsko-dentystycznego, farmacji, pielęgniarstwa i położnictwa </a:t>
          </a:r>
        </a:p>
        <a:p>
          <a:pPr algn="ctr"/>
          <a:endParaRPr lang="en-US" sz="1050"/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24</xdr:col>
      <xdr:colOff>257175</xdr:colOff>
      <xdr:row>0</xdr:row>
      <xdr:rowOff>133350</xdr:rowOff>
    </xdr:from>
    <xdr:to>
      <xdr:col>26</xdr:col>
      <xdr:colOff>132486</xdr:colOff>
      <xdr:row>2</xdr:row>
      <xdr:rowOff>75670</xdr:rowOff>
    </xdr:to>
    <xdr:sp macro="" textlink="">
      <xdr:nvSpPr>
        <xdr:cNvPr id="2" name="Text Box 3"/>
        <xdr:cNvSpPr txBox="1">
          <a:spLocks noChangeArrowheads="1"/>
        </xdr:cNvSpPr>
      </xdr:nvSpPr>
      <xdr:spPr bwMode="auto">
        <a:xfrm>
          <a:off x="14154150" y="133350"/>
          <a:ext cx="865910" cy="5667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24</xdr:col>
      <xdr:colOff>257175</xdr:colOff>
      <xdr:row>0</xdr:row>
      <xdr:rowOff>133350</xdr:rowOff>
    </xdr:from>
    <xdr:to>
      <xdr:col>26</xdr:col>
      <xdr:colOff>144392</xdr:colOff>
      <xdr:row>1</xdr:row>
      <xdr:rowOff>448733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14154150" y="133350"/>
          <a:ext cx="877816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24</xdr:col>
      <xdr:colOff>257175</xdr:colOff>
      <xdr:row>0</xdr:row>
      <xdr:rowOff>133350</xdr:rowOff>
    </xdr:from>
    <xdr:to>
      <xdr:col>26</xdr:col>
      <xdr:colOff>144393</xdr:colOff>
      <xdr:row>1</xdr:row>
      <xdr:rowOff>448733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14154150" y="133350"/>
          <a:ext cx="877817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22</xdr:col>
      <xdr:colOff>10582</xdr:colOff>
      <xdr:row>1</xdr:row>
      <xdr:rowOff>301624</xdr:rowOff>
    </xdr:from>
    <xdr:ext cx="4167187" cy="1035845"/>
    <xdr:sp macro="" textlink="">
      <xdr:nvSpPr>
        <xdr:cNvPr id="5" name="pole tekstowe 4"/>
        <xdr:cNvSpPr txBox="1"/>
      </xdr:nvSpPr>
      <xdr:spPr>
        <a:xfrm>
          <a:off x="11440582" y="640291"/>
          <a:ext cx="4167187" cy="10358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n-US" sz="900"/>
            <a:t>Rozporządzenie Ministra Nauki i Szkolnictwa Wyższego z dnia 9 maja 2012 roku w sprawie standardów kształcenia dla kierunku studiów: lekarskiego, lekarsko-dentystycznego, farmacji, pielęgniarstwa  (Dz. U.2012 poz. 631)</a:t>
          </a:r>
          <a:r>
            <a:rPr lang="pl-PL" sz="900" baseline="0"/>
            <a:t> oraz</a:t>
          </a:r>
        </a:p>
        <a:p>
          <a:pPr algn="ctr"/>
          <a:r>
            <a:rPr lang="en-US" sz="900"/>
            <a:t>Rozporządzenie Ministra Nauki i Szkolnictwa Wyższego z dnia 17 listopada 2016 r. </a:t>
          </a:r>
        </a:p>
        <a:p>
          <a:pPr algn="ctr"/>
          <a:r>
            <a:rPr lang="en-US" sz="900"/>
            <a:t>zmieniające rozporządzenie w sprawie standardów kształcenia dla kierunków studiów: lekarskiego,  lekarsko-dentystycznego, farmacji, pielęgniarstwa i położnictwa </a:t>
          </a:r>
        </a:p>
        <a:p>
          <a:pPr algn="ctr"/>
          <a:endParaRPr lang="en-US" sz="1050"/>
        </a:p>
      </xdr:txBody>
    </xdr:sp>
    <xdr:clientData/>
  </xdr:oneCellAnchor>
  <xdr:twoCellAnchor>
    <xdr:from>
      <xdr:col>26</xdr:col>
      <xdr:colOff>333375</xdr:colOff>
      <xdr:row>0</xdr:row>
      <xdr:rowOff>47625</xdr:rowOff>
    </xdr:from>
    <xdr:to>
      <xdr:col>31</xdr:col>
      <xdr:colOff>5556</xdr:colOff>
      <xdr:row>1</xdr:row>
      <xdr:rowOff>243416</xdr:rowOff>
    </xdr:to>
    <xdr:sp macro="" textlink="">
      <xdr:nvSpPr>
        <xdr:cNvPr id="6" name="pole tekstowe 5"/>
        <xdr:cNvSpPr txBox="1"/>
      </xdr:nvSpPr>
      <xdr:spPr>
        <a:xfrm>
          <a:off x="13128625" y="47625"/>
          <a:ext cx="2275681" cy="5344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indent="0" algn="ctr"/>
          <a:r>
            <a:rPr lang="pl-PL" sz="900">
              <a:solidFill>
                <a:schemeClr val="tx1"/>
              </a:solidFill>
              <a:latin typeface="+mn-lt"/>
              <a:ea typeface="+mn-ea"/>
              <a:cs typeface="+mn-cs"/>
            </a:rPr>
            <a:t>Obowiązuje dla kształocenia</a:t>
          </a:r>
        </a:p>
        <a:p>
          <a:pPr marL="0" indent="0" algn="ctr"/>
          <a:r>
            <a:rPr lang="pl-PL" sz="900">
              <a:solidFill>
                <a:schemeClr val="tx1"/>
              </a:solidFill>
              <a:latin typeface="+mn-lt"/>
              <a:ea typeface="+mn-ea"/>
              <a:cs typeface="+mn-cs"/>
            </a:rPr>
            <a:t>od roku akademickiego 2017/2018</a:t>
          </a:r>
          <a:endParaRPr lang="en-US" sz="900">
            <a:solidFill>
              <a:schemeClr val="tx1"/>
            </a:solidFill>
            <a:latin typeface="+mn-lt"/>
            <a:ea typeface="+mn-ea"/>
            <a:cs typeface="+mn-cs"/>
          </a:endParaRPr>
        </a:p>
      </xdr:txBody>
    </xdr:sp>
    <xdr:clientData/>
  </xdr:twoCellAnchor>
  <xdr:oneCellAnchor>
    <xdr:from>
      <xdr:col>0</xdr:col>
      <xdr:colOff>0</xdr:colOff>
      <xdr:row>25</xdr:row>
      <xdr:rowOff>42332</xdr:rowOff>
    </xdr:from>
    <xdr:ext cx="2000251" cy="1202531"/>
    <xdr:sp macro="" textlink="">
      <xdr:nvSpPr>
        <xdr:cNvPr id="11" name="pole tekstowe 10"/>
        <xdr:cNvSpPr txBox="1"/>
      </xdr:nvSpPr>
      <xdr:spPr>
        <a:xfrm>
          <a:off x="0" y="8106832"/>
          <a:ext cx="2000251" cy="1202531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squar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Formy zajęć: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W-</a:t>
          </a:r>
          <a:r>
            <a:rPr kumimoji="0" lang="pl-PL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 wykład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C</a:t>
          </a:r>
          <a:r>
            <a:rPr kumimoji="0" lang="pl-PL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- ćwieczenia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CP</a:t>
          </a:r>
          <a:r>
            <a:rPr kumimoji="0" lang="pl-PL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- ćwiczenia p[raktyczne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P</a:t>
          </a:r>
          <a:r>
            <a:rPr kumimoji="0" lang="pl-PL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-praktyki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L</a:t>
          </a:r>
          <a:r>
            <a:rPr kumimoji="0" lang="pl-PL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- laboratoria</a:t>
          </a:r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384175</xdr:colOff>
      <xdr:row>28</xdr:row>
      <xdr:rowOff>53975</xdr:rowOff>
    </xdr:from>
    <xdr:to>
      <xdr:col>14</xdr:col>
      <xdr:colOff>49141</xdr:colOff>
      <xdr:row>31</xdr:row>
      <xdr:rowOff>63500</xdr:rowOff>
    </xdr:to>
    <xdr:sp macro="" textlink="">
      <xdr:nvSpPr>
        <xdr:cNvPr id="2" name="Text Box 3"/>
        <xdr:cNvSpPr txBox="1">
          <a:spLocks noChangeArrowheads="1"/>
        </xdr:cNvSpPr>
      </xdr:nvSpPr>
      <xdr:spPr bwMode="auto">
        <a:xfrm>
          <a:off x="9432925" y="7372350"/>
          <a:ext cx="871466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24</xdr:col>
      <xdr:colOff>257175</xdr:colOff>
      <xdr:row>0</xdr:row>
      <xdr:rowOff>133350</xdr:rowOff>
    </xdr:from>
    <xdr:to>
      <xdr:col>25</xdr:col>
      <xdr:colOff>525391</xdr:colOff>
      <xdr:row>0</xdr:row>
      <xdr:rowOff>438150</xdr:rowOff>
    </xdr:to>
    <xdr:sp macro="" textlink="">
      <xdr:nvSpPr>
        <xdr:cNvPr id="8" name="Text Box 3"/>
        <xdr:cNvSpPr txBox="1">
          <a:spLocks noChangeArrowheads="1"/>
        </xdr:cNvSpPr>
      </xdr:nvSpPr>
      <xdr:spPr bwMode="auto">
        <a:xfrm>
          <a:off x="15906750" y="133350"/>
          <a:ext cx="877816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219075</xdr:colOff>
      <xdr:row>1</xdr:row>
      <xdr:rowOff>285751</xdr:rowOff>
    </xdr:from>
    <xdr:to>
      <xdr:col>10</xdr:col>
      <xdr:colOff>431006</xdr:colOff>
      <xdr:row>3</xdr:row>
      <xdr:rowOff>76201</xdr:rowOff>
    </xdr:to>
    <xdr:sp macro="" textlink="">
      <xdr:nvSpPr>
        <xdr:cNvPr id="9" name="pole tekstowe 8"/>
        <xdr:cNvSpPr txBox="1"/>
      </xdr:nvSpPr>
      <xdr:spPr>
        <a:xfrm>
          <a:off x="5857875" y="1133476"/>
          <a:ext cx="2717006" cy="4762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indent="0" algn="ctr"/>
          <a:r>
            <a:rPr lang="pl-PL" sz="900">
              <a:solidFill>
                <a:schemeClr val="tx1"/>
              </a:solidFill>
              <a:latin typeface="+mn-lt"/>
              <a:ea typeface="+mn-ea"/>
              <a:cs typeface="+mn-cs"/>
            </a:rPr>
            <a:t>Obowiązuje dla kształcenia</a:t>
          </a:r>
        </a:p>
        <a:p>
          <a:pPr marL="0" indent="0" algn="ctr"/>
          <a:r>
            <a:rPr lang="pl-PL" sz="900">
              <a:solidFill>
                <a:schemeClr val="tx1"/>
              </a:solidFill>
              <a:latin typeface="+mn-lt"/>
              <a:ea typeface="+mn-ea"/>
              <a:cs typeface="+mn-cs"/>
            </a:rPr>
            <a:t>od roku akademickiego 2017/2018</a:t>
          </a:r>
          <a:endParaRPr lang="en-US" sz="900">
            <a:solidFill>
              <a:schemeClr val="tx1"/>
            </a:solidFill>
            <a:latin typeface="+mn-lt"/>
            <a:ea typeface="+mn-ea"/>
            <a:cs typeface="+mn-cs"/>
          </a:endParaRPr>
        </a:p>
      </xdr:txBody>
    </xdr:sp>
    <xdr:clientData/>
  </xdr:twoCellAnchor>
  <xdr:oneCellAnchor>
    <xdr:from>
      <xdr:col>0</xdr:col>
      <xdr:colOff>0</xdr:colOff>
      <xdr:row>132</xdr:row>
      <xdr:rowOff>0</xdr:rowOff>
    </xdr:from>
    <xdr:ext cx="5915025" cy="942975"/>
    <xdr:sp macro="" textlink="">
      <xdr:nvSpPr>
        <xdr:cNvPr id="13" name="pole tekstowe 12"/>
        <xdr:cNvSpPr txBox="1"/>
      </xdr:nvSpPr>
      <xdr:spPr>
        <a:xfrm>
          <a:off x="0" y="28965525"/>
          <a:ext cx="5915025" cy="942975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square" rtlCol="0" anchor="t">
          <a:noAutofit/>
        </a:bodyPr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Rozporządzenie Ministra Nauki i Szkolnictwa Wyższego z dnia 9 maja 2012 roku w sprawie standardów kształcenia </a:t>
          </a:r>
          <a:endParaRPr kumimoji="0" lang="pl-PL" sz="9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dla kierunku studiów: lekarskiego, lekarsko-dentystycznego, farmacji, pielęgniarstwa  (Dz. U.2012 poz. 631)</a:t>
          </a:r>
          <a:r>
            <a:rPr kumimoji="0" lang="pl-PL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oraz</a:t>
          </a:r>
          <a:r>
            <a:rPr kumimoji="0" 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Rozporządzenie Ministra Nauki i Szkolnictwa Wyższego z dnia 17 listopada 2016 r. 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zmieniające rozporządzenie w sprawie standardów kształcenia dla kierunków studiów: lekarskiego,  </a:t>
          </a:r>
          <a:endParaRPr kumimoji="0" lang="pl-PL" sz="9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lekarsko-dentystycznego, farmacji, pielęgniarstwa i położnictwa 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05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93133</xdr:colOff>
      <xdr:row>0</xdr:row>
      <xdr:rowOff>112184</xdr:rowOff>
    </xdr:from>
    <xdr:ext cx="6299200" cy="609013"/>
    <xdr:sp macro="" textlink="">
      <xdr:nvSpPr>
        <xdr:cNvPr id="3" name="pole tekstowe 2"/>
        <xdr:cNvSpPr txBox="1"/>
      </xdr:nvSpPr>
      <xdr:spPr>
        <a:xfrm>
          <a:off x="93133" y="112184"/>
          <a:ext cx="6299200" cy="6090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pl-PL" sz="1100" b="1"/>
            <a:t>Załacznik do</a:t>
          </a:r>
          <a:r>
            <a:rPr lang="pl-PL" sz="1100" b="1" baseline="0"/>
            <a:t> </a:t>
          </a:r>
          <a:r>
            <a:rPr lang="pl-PL" sz="1100" b="1"/>
            <a:t>PLANU STUDIÓW NIESTACJONARNYCH JEDNOLITYCH MAGISTERSKICH</a:t>
          </a:r>
        </a:p>
        <a:p>
          <a:r>
            <a:rPr lang="pl-PL" sz="1100" b="1"/>
            <a:t>KIERUNKE LEKARSKI</a:t>
          </a:r>
        </a:p>
        <a:p>
          <a:r>
            <a:rPr lang="pl-PL" sz="1100" b="1"/>
            <a:t>kształcenie</a:t>
          </a:r>
          <a:r>
            <a:rPr lang="pl-PL" sz="1100" b="1" baseline="0"/>
            <a:t> od roku akademickiego 2017/2018</a:t>
          </a:r>
          <a:endParaRPr lang="en-US" sz="1100" b="1"/>
        </a:p>
      </xdr:txBody>
    </xdr:sp>
    <xdr:clientData/>
  </xdr:one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136"/>
  <sheetViews>
    <sheetView zoomScale="80" zoomScaleNormal="80" zoomScaleSheetLayoutView="70" workbookViewId="0">
      <pane xSplit="30" ySplit="9" topLeftCell="AE10" activePane="bottomRight" state="frozen"/>
      <selection pane="topRight" activeCell="AE1" sqref="AE1"/>
      <selection pane="bottomLeft" activeCell="A10" sqref="A10"/>
      <selection pane="bottomRight" activeCell="AD17" sqref="AD17"/>
    </sheetView>
  </sheetViews>
  <sheetFormatPr defaultRowHeight="15"/>
  <cols>
    <col min="1" max="1" width="5.42578125" style="73" customWidth="1"/>
    <col min="2" max="2" width="47.85546875" style="94" customWidth="1"/>
    <col min="3" max="3" width="23.85546875" style="152" customWidth="1"/>
    <col min="4" max="4" width="5.140625" style="41" customWidth="1"/>
    <col min="5" max="5" width="7.7109375" style="41" customWidth="1"/>
    <col min="6" max="6" width="7.28515625" style="41" customWidth="1"/>
    <col min="7" max="7" width="8.7109375" style="41" customWidth="1"/>
    <col min="8" max="24" width="7.5703125" style="41" customWidth="1"/>
    <col min="25" max="25" width="10.5703125" style="41" bestFit="1" customWidth="1"/>
    <col min="26" max="29" width="6.7109375" style="41" customWidth="1"/>
    <col min="30" max="30" width="9.5703125" style="41" customWidth="1"/>
    <col min="31" max="31" width="9.7109375" style="41" customWidth="1"/>
    <col min="32" max="16384" width="9.140625" style="41"/>
  </cols>
  <sheetData>
    <row r="1" spans="1:31" ht="50.25" customHeight="1">
      <c r="A1" s="498" t="s">
        <v>265</v>
      </c>
      <c r="B1" s="499"/>
      <c r="C1" s="499"/>
      <c r="D1" s="499"/>
      <c r="E1" s="499"/>
      <c r="F1" s="499"/>
      <c r="G1" s="499"/>
      <c r="H1" s="499"/>
      <c r="I1" s="499"/>
      <c r="J1" s="499"/>
      <c r="K1" s="499"/>
      <c r="L1" s="499"/>
      <c r="M1" s="499"/>
      <c r="N1" s="499"/>
      <c r="O1" s="499"/>
      <c r="P1" s="499"/>
      <c r="Q1" s="499"/>
      <c r="R1" s="499"/>
      <c r="S1" s="499"/>
      <c r="T1" s="499"/>
      <c r="U1" s="499"/>
      <c r="V1" s="499"/>
      <c r="W1" s="499"/>
      <c r="X1" s="499"/>
      <c r="Y1" s="499"/>
      <c r="Z1" s="499"/>
      <c r="AA1" s="499"/>
      <c r="AB1" s="499"/>
      <c r="AC1" s="499"/>
      <c r="AD1" s="499"/>
      <c r="AE1" s="499"/>
    </row>
    <row r="2" spans="1:31" ht="35.25" customHeight="1">
      <c r="A2" s="509" t="s">
        <v>112</v>
      </c>
      <c r="B2" s="509"/>
      <c r="C2" s="144" t="s">
        <v>113</v>
      </c>
      <c r="E2" s="132"/>
      <c r="F2" s="132"/>
      <c r="G2" s="132"/>
      <c r="H2" s="511" t="s">
        <v>110</v>
      </c>
      <c r="I2" s="511"/>
      <c r="J2" s="511"/>
      <c r="K2" s="511"/>
      <c r="L2" s="511"/>
      <c r="M2" s="511"/>
      <c r="N2" s="511"/>
      <c r="O2" s="511"/>
      <c r="P2" s="511"/>
      <c r="Q2" s="131"/>
      <c r="R2" s="131"/>
      <c r="S2" s="131"/>
      <c r="T2" s="131"/>
      <c r="U2" s="131"/>
      <c r="V2" s="131"/>
      <c r="W2" s="131"/>
      <c r="X2" s="131"/>
      <c r="Y2" s="131"/>
      <c r="Z2" s="131"/>
      <c r="AA2" s="131"/>
      <c r="AB2" s="131"/>
      <c r="AC2" s="131"/>
      <c r="AD2" s="131"/>
      <c r="AE2" s="131"/>
    </row>
    <row r="3" spans="1:31" ht="35.25" customHeight="1">
      <c r="A3" s="510" t="s">
        <v>111</v>
      </c>
      <c r="B3" s="510"/>
      <c r="C3" s="145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  <c r="Q3" s="131"/>
      <c r="R3" s="131"/>
      <c r="S3" s="131"/>
      <c r="T3" s="131"/>
      <c r="U3" s="131"/>
      <c r="V3" s="131"/>
      <c r="W3" s="131"/>
      <c r="X3" s="131"/>
      <c r="Y3" s="131"/>
      <c r="Z3" s="131"/>
      <c r="AA3" s="131"/>
      <c r="AB3" s="131"/>
      <c r="AC3" s="131"/>
      <c r="AD3" s="131"/>
      <c r="AE3" s="131"/>
    </row>
    <row r="4" spans="1:31" ht="28.5" customHeight="1">
      <c r="A4" s="41"/>
      <c r="B4" s="41"/>
      <c r="C4" s="146"/>
      <c r="D4" s="133"/>
      <c r="E4" s="134"/>
      <c r="F4" s="133"/>
      <c r="G4" s="134"/>
      <c r="H4" s="133"/>
      <c r="I4" s="134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  <c r="V4" s="106"/>
      <c r="W4" s="106"/>
      <c r="X4" s="106"/>
      <c r="Y4" s="106"/>
      <c r="Z4" s="106"/>
      <c r="AA4" s="106"/>
      <c r="AB4" s="106"/>
      <c r="AC4" s="106"/>
      <c r="AD4" s="106"/>
      <c r="AE4" s="106"/>
    </row>
    <row r="5" spans="1:31">
      <c r="A5" s="500"/>
      <c r="B5" s="501"/>
      <c r="C5" s="501"/>
      <c r="D5" s="501"/>
      <c r="E5" s="501"/>
      <c r="F5" s="502"/>
      <c r="G5" s="503" t="s">
        <v>3</v>
      </c>
      <c r="H5" s="504"/>
      <c r="I5" s="504"/>
      <c r="J5" s="504"/>
      <c r="K5" s="504"/>
      <c r="L5" s="504"/>
      <c r="M5" s="504"/>
      <c r="N5" s="504"/>
      <c r="O5" s="504"/>
      <c r="P5" s="504"/>
      <c r="Q5" s="504"/>
      <c r="R5" s="504"/>
      <c r="S5" s="504"/>
      <c r="T5" s="504"/>
      <c r="U5" s="504"/>
      <c r="V5" s="504"/>
      <c r="W5" s="504"/>
      <c r="X5" s="504"/>
      <c r="Y5" s="504"/>
      <c r="Z5" s="504"/>
      <c r="AA5" s="504"/>
      <c r="AB5" s="504"/>
      <c r="AC5" s="504"/>
      <c r="AD5" s="504"/>
      <c r="AE5" s="505"/>
    </row>
    <row r="6" spans="1:31" ht="15" customHeight="1">
      <c r="A6" s="483" t="s">
        <v>0</v>
      </c>
      <c r="B6" s="481" t="s">
        <v>4</v>
      </c>
      <c r="C6" s="481" t="s">
        <v>1</v>
      </c>
      <c r="D6" s="481" t="s">
        <v>8</v>
      </c>
      <c r="E6" s="481"/>
      <c r="F6" s="481"/>
      <c r="G6" s="494" t="s">
        <v>105</v>
      </c>
      <c r="H6" s="494"/>
      <c r="I6" s="494"/>
      <c r="J6" s="494"/>
      <c r="K6" s="494"/>
      <c r="L6" s="494"/>
      <c r="M6" s="494"/>
      <c r="N6" s="494"/>
      <c r="O6" s="494"/>
      <c r="P6" s="494"/>
      <c r="Q6" s="494"/>
      <c r="R6" s="494"/>
      <c r="S6" s="494"/>
      <c r="T6" s="494"/>
      <c r="U6" s="494"/>
      <c r="V6" s="494"/>
      <c r="W6" s="494"/>
      <c r="X6" s="494"/>
      <c r="Y6" s="487" t="s">
        <v>5</v>
      </c>
      <c r="Z6" s="487" t="s">
        <v>89</v>
      </c>
      <c r="AA6" s="487" t="s">
        <v>88</v>
      </c>
      <c r="AB6" s="487" t="s">
        <v>94</v>
      </c>
      <c r="AC6" s="487" t="s">
        <v>90</v>
      </c>
      <c r="AD6" s="487" t="s">
        <v>14</v>
      </c>
      <c r="AE6" s="487" t="s">
        <v>6</v>
      </c>
    </row>
    <row r="7" spans="1:31" ht="15" customHeight="1">
      <c r="A7" s="483"/>
      <c r="B7" s="481"/>
      <c r="C7" s="481"/>
      <c r="D7" s="481"/>
      <c r="E7" s="481"/>
      <c r="F7" s="481"/>
      <c r="G7" s="495" t="s">
        <v>10</v>
      </c>
      <c r="H7" s="496"/>
      <c r="I7" s="496"/>
      <c r="J7" s="496"/>
      <c r="K7" s="496"/>
      <c r="L7" s="496"/>
      <c r="M7" s="496"/>
      <c r="N7" s="496"/>
      <c r="O7" s="497"/>
      <c r="P7" s="490" t="s">
        <v>11</v>
      </c>
      <c r="Q7" s="506"/>
      <c r="R7" s="506"/>
      <c r="S7" s="506"/>
      <c r="T7" s="506"/>
      <c r="U7" s="506"/>
      <c r="V7" s="506"/>
      <c r="W7" s="506"/>
      <c r="X7" s="491"/>
      <c r="Y7" s="488"/>
      <c r="Z7" s="488"/>
      <c r="AA7" s="488"/>
      <c r="AB7" s="488"/>
      <c r="AC7" s="488"/>
      <c r="AD7" s="488"/>
      <c r="AE7" s="488"/>
    </row>
    <row r="8" spans="1:31" ht="14.25" customHeight="1">
      <c r="A8" s="484"/>
      <c r="B8" s="479"/>
      <c r="C8" s="479"/>
      <c r="D8" s="479" t="s">
        <v>2</v>
      </c>
      <c r="E8" s="479" t="s">
        <v>13</v>
      </c>
      <c r="F8" s="479" t="s">
        <v>12</v>
      </c>
      <c r="G8" s="495" t="s">
        <v>89</v>
      </c>
      <c r="H8" s="497"/>
      <c r="I8" s="495" t="s">
        <v>88</v>
      </c>
      <c r="J8" s="497"/>
      <c r="K8" s="495" t="s">
        <v>94</v>
      </c>
      <c r="L8" s="497"/>
      <c r="M8" s="495" t="s">
        <v>90</v>
      </c>
      <c r="N8" s="497"/>
      <c r="O8" s="507" t="s">
        <v>7</v>
      </c>
      <c r="P8" s="490" t="s">
        <v>89</v>
      </c>
      <c r="Q8" s="491"/>
      <c r="R8" s="490" t="s">
        <v>88</v>
      </c>
      <c r="S8" s="491"/>
      <c r="T8" s="490" t="s">
        <v>94</v>
      </c>
      <c r="U8" s="491"/>
      <c r="V8" s="490" t="s">
        <v>90</v>
      </c>
      <c r="W8" s="491"/>
      <c r="X8" s="492" t="s">
        <v>7</v>
      </c>
      <c r="Y8" s="488"/>
      <c r="Z8" s="488"/>
      <c r="AA8" s="488"/>
      <c r="AB8" s="488"/>
      <c r="AC8" s="488"/>
      <c r="AD8" s="488"/>
      <c r="AE8" s="488"/>
    </row>
    <row r="9" spans="1:31" ht="41.25" customHeight="1" thickBot="1">
      <c r="A9" s="485"/>
      <c r="B9" s="482"/>
      <c r="C9" s="482"/>
      <c r="D9" s="480"/>
      <c r="E9" s="480"/>
      <c r="F9" s="480"/>
      <c r="G9" s="139" t="s">
        <v>15</v>
      </c>
      <c r="H9" s="139" t="s">
        <v>16</v>
      </c>
      <c r="I9" s="139" t="s">
        <v>15</v>
      </c>
      <c r="J9" s="139" t="s">
        <v>16</v>
      </c>
      <c r="K9" s="139" t="s">
        <v>15</v>
      </c>
      <c r="L9" s="139" t="s">
        <v>16</v>
      </c>
      <c r="M9" s="139" t="s">
        <v>15</v>
      </c>
      <c r="N9" s="139" t="s">
        <v>16</v>
      </c>
      <c r="O9" s="508"/>
      <c r="P9" s="137" t="s">
        <v>15</v>
      </c>
      <c r="Q9" s="137" t="s">
        <v>16</v>
      </c>
      <c r="R9" s="137" t="s">
        <v>15</v>
      </c>
      <c r="S9" s="137" t="s">
        <v>16</v>
      </c>
      <c r="T9" s="137" t="s">
        <v>15</v>
      </c>
      <c r="U9" s="137" t="s">
        <v>16</v>
      </c>
      <c r="V9" s="137" t="s">
        <v>15</v>
      </c>
      <c r="W9" s="137" t="s">
        <v>16</v>
      </c>
      <c r="X9" s="493"/>
      <c r="Y9" s="489"/>
      <c r="Z9" s="489"/>
      <c r="AA9" s="489"/>
      <c r="AB9" s="489"/>
      <c r="AC9" s="489"/>
      <c r="AD9" s="489"/>
      <c r="AE9" s="489"/>
    </row>
    <row r="10" spans="1:31" ht="23.25" customHeight="1">
      <c r="A10" s="42" t="s">
        <v>22</v>
      </c>
      <c r="B10" s="43"/>
      <c r="C10" s="147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3"/>
      <c r="AA10" s="43"/>
      <c r="AB10" s="43"/>
      <c r="AC10" s="43"/>
      <c r="AD10" s="43"/>
      <c r="AE10" s="44"/>
    </row>
    <row r="11" spans="1:31" ht="29.25" customHeight="1">
      <c r="A11" s="45">
        <v>1.1000000000000001</v>
      </c>
      <c r="B11" s="46" t="s">
        <v>18</v>
      </c>
      <c r="C11" s="47" t="str">
        <f>RAZEM!C6</f>
        <v>0912-7LEK-B1.1-A</v>
      </c>
      <c r="D11" s="48">
        <v>2</v>
      </c>
      <c r="E11" s="275" t="s">
        <v>275</v>
      </c>
      <c r="F11" s="49"/>
      <c r="G11" s="140">
        <v>40</v>
      </c>
      <c r="H11" s="165">
        <v>15</v>
      </c>
      <c r="I11" s="140">
        <v>30</v>
      </c>
      <c r="J11" s="165">
        <v>75</v>
      </c>
      <c r="K11" s="140">
        <v>45</v>
      </c>
      <c r="L11" s="140"/>
      <c r="M11" s="140"/>
      <c r="N11" s="140"/>
      <c r="O11" s="141">
        <v>9</v>
      </c>
      <c r="P11" s="138">
        <v>35</v>
      </c>
      <c r="Q11" s="167">
        <v>35</v>
      </c>
      <c r="R11" s="138">
        <v>30</v>
      </c>
      <c r="S11" s="167">
        <v>75</v>
      </c>
      <c r="T11" s="138">
        <v>45</v>
      </c>
      <c r="U11" s="138"/>
      <c r="V11" s="138"/>
      <c r="W11" s="138"/>
      <c r="X11" s="138">
        <v>8</v>
      </c>
      <c r="Y11" s="50">
        <f>SUM(Z11:AC11)</f>
        <v>225</v>
      </c>
      <c r="Z11" s="50">
        <f>SUM(G11,P11)</f>
        <v>75</v>
      </c>
      <c r="AA11" s="50">
        <f>SUM(I11,R11)</f>
        <v>60</v>
      </c>
      <c r="AB11" s="50">
        <f>SUM(K11,T11)</f>
        <v>90</v>
      </c>
      <c r="AC11" s="50">
        <f>SUM(M11,V11)</f>
        <v>0</v>
      </c>
      <c r="AD11" s="50">
        <f>SUM(G11:N11,P11:W11)</f>
        <v>425</v>
      </c>
      <c r="AE11" s="50">
        <f>SUM(O11,X11)</f>
        <v>17</v>
      </c>
    </row>
    <row r="12" spans="1:31" ht="29.25" customHeight="1">
      <c r="A12" s="45">
        <v>1.2</v>
      </c>
      <c r="B12" s="46" t="s">
        <v>20</v>
      </c>
      <c r="C12" s="47" t="str">
        <f>RAZEM!C7</f>
        <v>0912-7LEK-B1.2-H</v>
      </c>
      <c r="D12" s="48">
        <v>2</v>
      </c>
      <c r="E12" s="275" t="s">
        <v>275</v>
      </c>
      <c r="F12" s="49"/>
      <c r="G12" s="140">
        <v>25</v>
      </c>
      <c r="H12" s="165">
        <v>35</v>
      </c>
      <c r="I12" s="140">
        <v>20</v>
      </c>
      <c r="J12" s="165">
        <v>50</v>
      </c>
      <c r="K12" s="140">
        <v>20</v>
      </c>
      <c r="L12" s="140"/>
      <c r="M12" s="140"/>
      <c r="N12" s="140"/>
      <c r="O12" s="141">
        <v>6</v>
      </c>
      <c r="P12" s="138">
        <v>10</v>
      </c>
      <c r="Q12" s="167">
        <v>30</v>
      </c>
      <c r="R12" s="138">
        <v>15</v>
      </c>
      <c r="S12" s="167">
        <v>30</v>
      </c>
      <c r="T12" s="138">
        <v>15</v>
      </c>
      <c r="U12" s="138"/>
      <c r="V12" s="138"/>
      <c r="W12" s="138"/>
      <c r="X12" s="138">
        <v>4</v>
      </c>
      <c r="Y12" s="50">
        <f>SUM(Z12:AC12)</f>
        <v>105</v>
      </c>
      <c r="Z12" s="50">
        <f>SUM(G12,P12)</f>
        <v>35</v>
      </c>
      <c r="AA12" s="50">
        <f>SUM(I12,R12)</f>
        <v>35</v>
      </c>
      <c r="AB12" s="50">
        <f>SUM(K12,T12)</f>
        <v>35</v>
      </c>
      <c r="AC12" s="50">
        <f>SUM(M12,V12)</f>
        <v>0</v>
      </c>
      <c r="AD12" s="50">
        <f>SUM(G12:N12,P12:W12)</f>
        <v>250</v>
      </c>
      <c r="AE12" s="50">
        <f>SUM(O12,X12)</f>
        <v>10</v>
      </c>
    </row>
    <row r="13" spans="1:31">
      <c r="A13" s="474" t="s">
        <v>9</v>
      </c>
      <c r="B13" s="475"/>
      <c r="C13" s="475"/>
      <c r="D13" s="475"/>
      <c r="E13" s="475"/>
      <c r="F13" s="476"/>
      <c r="G13" s="51">
        <f>SUM(G11:G12)</f>
        <v>65</v>
      </c>
      <c r="H13" s="166">
        <f>SUM(H11:H12)</f>
        <v>50</v>
      </c>
      <c r="I13" s="51">
        <f>SUM(I11:I12)</f>
        <v>50</v>
      </c>
      <c r="J13" s="166">
        <f>SUM(J11:J12)</f>
        <v>125</v>
      </c>
      <c r="K13" s="51">
        <f>SUM(K11:K12)</f>
        <v>65</v>
      </c>
      <c r="L13" s="197">
        <f t="shared" ref="L13:W13" si="0">SUM(L11:L12)</f>
        <v>0</v>
      </c>
      <c r="M13" s="51">
        <f t="shared" si="0"/>
        <v>0</v>
      </c>
      <c r="N13" s="197">
        <f t="shared" si="0"/>
        <v>0</v>
      </c>
      <c r="O13" s="51">
        <f t="shared" ref="O13:T13" si="1">SUM(O11:O12)</f>
        <v>15</v>
      </c>
      <c r="P13" s="51">
        <f t="shared" si="1"/>
        <v>45</v>
      </c>
      <c r="Q13" s="166">
        <f t="shared" si="1"/>
        <v>65</v>
      </c>
      <c r="R13" s="51">
        <f t="shared" si="1"/>
        <v>45</v>
      </c>
      <c r="S13" s="197">
        <f t="shared" si="1"/>
        <v>105</v>
      </c>
      <c r="T13" s="51">
        <f t="shared" si="1"/>
        <v>60</v>
      </c>
      <c r="U13" s="197">
        <f t="shared" si="0"/>
        <v>0</v>
      </c>
      <c r="V13" s="51">
        <f t="shared" si="0"/>
        <v>0</v>
      </c>
      <c r="W13" s="197">
        <f t="shared" si="0"/>
        <v>0</v>
      </c>
      <c r="X13" s="51">
        <f t="shared" ref="X13:AE13" si="2">SUM(X11:X12)</f>
        <v>12</v>
      </c>
      <c r="Y13" s="51">
        <f t="shared" si="2"/>
        <v>330</v>
      </c>
      <c r="Z13" s="51">
        <f t="shared" si="2"/>
        <v>110</v>
      </c>
      <c r="AA13" s="51">
        <f t="shared" si="2"/>
        <v>95</v>
      </c>
      <c r="AB13" s="51">
        <f t="shared" si="2"/>
        <v>125</v>
      </c>
      <c r="AC13" s="51">
        <f t="shared" si="2"/>
        <v>0</v>
      </c>
      <c r="AD13" s="51">
        <f t="shared" si="2"/>
        <v>675</v>
      </c>
      <c r="AE13" s="51">
        <f t="shared" si="2"/>
        <v>27</v>
      </c>
    </row>
    <row r="14" spans="1:31" ht="22.5" customHeight="1">
      <c r="A14" s="52" t="s">
        <v>23</v>
      </c>
      <c r="B14" s="53"/>
      <c r="C14" s="54"/>
      <c r="D14" s="53"/>
      <c r="E14" s="53"/>
      <c r="F14" s="53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6"/>
    </row>
    <row r="15" spans="1:31" ht="27" customHeight="1">
      <c r="A15" s="57">
        <v>2.2000000000000002</v>
      </c>
      <c r="B15" s="46" t="s">
        <v>36</v>
      </c>
      <c r="C15" s="47" t="str">
        <f>RAZEM!C11</f>
        <v>0912-7LEK-B2.2-PBK</v>
      </c>
      <c r="D15" s="48">
        <v>2</v>
      </c>
      <c r="E15" s="275">
        <v>2</v>
      </c>
      <c r="F15" s="49"/>
      <c r="G15" s="140"/>
      <c r="H15" s="140"/>
      <c r="I15" s="140"/>
      <c r="J15" s="140"/>
      <c r="K15" s="140"/>
      <c r="L15" s="140"/>
      <c r="M15" s="140"/>
      <c r="N15" s="140"/>
      <c r="O15" s="140"/>
      <c r="P15" s="138">
        <v>30</v>
      </c>
      <c r="Q15" s="167">
        <v>20</v>
      </c>
      <c r="R15" s="138"/>
      <c r="S15" s="138"/>
      <c r="T15" s="138"/>
      <c r="U15" s="167"/>
      <c r="V15" s="138">
        <v>30</v>
      </c>
      <c r="W15" s="167">
        <v>20</v>
      </c>
      <c r="X15" s="138">
        <v>4</v>
      </c>
      <c r="Y15" s="50">
        <f>SUM(Z15:AC15)</f>
        <v>60</v>
      </c>
      <c r="Z15" s="50">
        <f>SUM(G15,P15)</f>
        <v>30</v>
      </c>
      <c r="AA15" s="50">
        <f>SUM(I15,R15)</f>
        <v>0</v>
      </c>
      <c r="AB15" s="50">
        <f>SUM(K15,T15)</f>
        <v>0</v>
      </c>
      <c r="AC15" s="50">
        <f>SUM(M15,V15)</f>
        <v>30</v>
      </c>
      <c r="AD15" s="50">
        <f>SUM(G15:N15,P15:W15)</f>
        <v>100</v>
      </c>
      <c r="AE15" s="50">
        <f>SUM(O15,X15)</f>
        <v>4</v>
      </c>
    </row>
    <row r="16" spans="1:31" ht="29.25" customHeight="1">
      <c r="A16" s="57">
        <v>2.2999999999999998</v>
      </c>
      <c r="B16" s="46" t="s">
        <v>37</v>
      </c>
      <c r="C16" s="47" t="str">
        <f>RAZEM!C12</f>
        <v>0912-7LEK-B2.3-C</v>
      </c>
      <c r="D16" s="48">
        <v>1</v>
      </c>
      <c r="E16" s="275">
        <v>1</v>
      </c>
      <c r="F16" s="49"/>
      <c r="G16" s="140">
        <v>15</v>
      </c>
      <c r="H16" s="165">
        <v>10</v>
      </c>
      <c r="I16" s="140"/>
      <c r="J16" s="140"/>
      <c r="K16" s="140"/>
      <c r="L16" s="140"/>
      <c r="M16" s="140">
        <v>20</v>
      </c>
      <c r="N16" s="165">
        <v>30</v>
      </c>
      <c r="O16" s="140">
        <v>3</v>
      </c>
      <c r="P16" s="138"/>
      <c r="Q16" s="167"/>
      <c r="R16" s="138"/>
      <c r="S16" s="138"/>
      <c r="T16" s="138"/>
      <c r="U16" s="167"/>
      <c r="V16" s="138"/>
      <c r="W16" s="167"/>
      <c r="X16" s="138"/>
      <c r="Y16" s="50">
        <f t="shared" ref="Y16:Y18" si="3">SUM(Z16:AC16)</f>
        <v>35</v>
      </c>
      <c r="Z16" s="50">
        <f>SUM(G16,P16)</f>
        <v>15</v>
      </c>
      <c r="AA16" s="50">
        <f>SUM(I16,R16)</f>
        <v>0</v>
      </c>
      <c r="AB16" s="50">
        <f>SUM(K16,T16)</f>
        <v>0</v>
      </c>
      <c r="AC16" s="50">
        <f>SUM(M16,V16)</f>
        <v>20</v>
      </c>
      <c r="AD16" s="50">
        <f t="shared" ref="AD16:AD18" si="4">SUM(G16:N16,P16:W16)</f>
        <v>75</v>
      </c>
      <c r="AE16" s="50">
        <f>SUM(O16,X16)</f>
        <v>3</v>
      </c>
    </row>
    <row r="17" spans="1:31" ht="33.75" customHeight="1">
      <c r="A17" s="57">
        <v>2.7</v>
      </c>
      <c r="B17" s="46" t="s">
        <v>93</v>
      </c>
      <c r="C17" s="47" t="str">
        <f>RAZEM!C16</f>
        <v>0912-7LEK-B2.7-BzI</v>
      </c>
      <c r="D17" s="48">
        <v>2</v>
      </c>
      <c r="E17" s="275" t="s">
        <v>275</v>
      </c>
      <c r="F17" s="49"/>
      <c r="G17" s="140">
        <v>15</v>
      </c>
      <c r="H17" s="165">
        <v>10</v>
      </c>
      <c r="I17" s="140">
        <v>35</v>
      </c>
      <c r="J17" s="165">
        <v>15</v>
      </c>
      <c r="K17" s="140"/>
      <c r="L17" s="140"/>
      <c r="M17" s="140"/>
      <c r="N17" s="140"/>
      <c r="O17" s="140">
        <v>3</v>
      </c>
      <c r="P17" s="138">
        <v>15</v>
      </c>
      <c r="Q17" s="167">
        <v>10</v>
      </c>
      <c r="R17" s="138">
        <v>15</v>
      </c>
      <c r="S17" s="167">
        <v>10</v>
      </c>
      <c r="T17" s="138"/>
      <c r="U17" s="167"/>
      <c r="V17" s="138"/>
      <c r="W17" s="167"/>
      <c r="X17" s="138">
        <v>2</v>
      </c>
      <c r="Y17" s="50">
        <f t="shared" si="3"/>
        <v>80</v>
      </c>
      <c r="Z17" s="50">
        <f>SUM(G17,P17)</f>
        <v>30</v>
      </c>
      <c r="AA17" s="50">
        <f>SUM(I17,R17)</f>
        <v>50</v>
      </c>
      <c r="AB17" s="50">
        <f>SUM(K17,T17)</f>
        <v>0</v>
      </c>
      <c r="AC17" s="50">
        <f>SUM(M17,V17)</f>
        <v>0</v>
      </c>
      <c r="AD17" s="402">
        <f>SUM(G17:N17,P17:W17)</f>
        <v>125</v>
      </c>
      <c r="AE17" s="50">
        <f>SUM(O17,X17)</f>
        <v>5</v>
      </c>
    </row>
    <row r="18" spans="1:31" ht="33.75" customHeight="1">
      <c r="A18" s="57">
        <v>2.8</v>
      </c>
      <c r="B18" s="46" t="s">
        <v>91</v>
      </c>
      <c r="C18" s="47" t="str">
        <f>RAZEM!C17</f>
        <v>0912-7LEK-B2.8-PP</v>
      </c>
      <c r="D18" s="48">
        <v>2</v>
      </c>
      <c r="E18" s="275" t="s">
        <v>275</v>
      </c>
      <c r="F18" s="49"/>
      <c r="G18" s="140"/>
      <c r="H18" s="165"/>
      <c r="I18" s="140"/>
      <c r="J18" s="140"/>
      <c r="K18" s="140"/>
      <c r="L18" s="140"/>
      <c r="M18" s="140"/>
      <c r="N18" s="140"/>
      <c r="O18" s="140"/>
      <c r="P18" s="138"/>
      <c r="Q18" s="167"/>
      <c r="R18" s="138">
        <v>15</v>
      </c>
      <c r="S18" s="167">
        <v>10</v>
      </c>
      <c r="T18" s="138">
        <v>20</v>
      </c>
      <c r="U18" s="167">
        <v>5</v>
      </c>
      <c r="V18" s="138"/>
      <c r="W18" s="167"/>
      <c r="X18" s="138">
        <v>2</v>
      </c>
      <c r="Y18" s="50">
        <f t="shared" si="3"/>
        <v>35</v>
      </c>
      <c r="Z18" s="50">
        <f>SUM(G18,P18)</f>
        <v>0</v>
      </c>
      <c r="AA18" s="50">
        <f>SUM(I18,R18)</f>
        <v>15</v>
      </c>
      <c r="AB18" s="50">
        <f>SUM(K18,T18)</f>
        <v>20</v>
      </c>
      <c r="AC18" s="50">
        <f>SUM(M18,V18)</f>
        <v>0</v>
      </c>
      <c r="AD18" s="50">
        <f t="shared" si="4"/>
        <v>50</v>
      </c>
      <c r="AE18" s="50">
        <f>SUM(O18,X18)</f>
        <v>2</v>
      </c>
    </row>
    <row r="19" spans="1:31" ht="15.75">
      <c r="A19" s="474" t="s">
        <v>9</v>
      </c>
      <c r="B19" s="475"/>
      <c r="C19" s="475"/>
      <c r="D19" s="475"/>
      <c r="E19" s="475"/>
      <c r="F19" s="476"/>
      <c r="G19" s="58">
        <f>SUM(G15:G18)</f>
        <v>30</v>
      </c>
      <c r="H19" s="188">
        <f>SUM(H15:H18)</f>
        <v>20</v>
      </c>
      <c r="I19" s="58">
        <f>SUM(I15:I18)</f>
        <v>35</v>
      </c>
      <c r="J19" s="188">
        <f>SUM(J15:J18)</f>
        <v>15</v>
      </c>
      <c r="K19" s="58">
        <f t="shared" ref="K19:X19" si="5">SUM(K15:K18)</f>
        <v>0</v>
      </c>
      <c r="L19" s="188">
        <f t="shared" si="5"/>
        <v>0</v>
      </c>
      <c r="M19" s="58">
        <f>SUM(M15:M18)</f>
        <v>20</v>
      </c>
      <c r="N19" s="188">
        <f>SUM(N15:N18)</f>
        <v>30</v>
      </c>
      <c r="O19" s="58">
        <f>SUM(O15:O18)</f>
        <v>6</v>
      </c>
      <c r="P19" s="58">
        <f>SUM(P15:P18)</f>
        <v>45</v>
      </c>
      <c r="Q19" s="188">
        <f t="shared" si="5"/>
        <v>30</v>
      </c>
      <c r="R19" s="58">
        <f t="shared" si="5"/>
        <v>30</v>
      </c>
      <c r="S19" s="188">
        <f t="shared" si="5"/>
        <v>20</v>
      </c>
      <c r="T19" s="58">
        <f t="shared" si="5"/>
        <v>20</v>
      </c>
      <c r="U19" s="188">
        <f t="shared" si="5"/>
        <v>5</v>
      </c>
      <c r="V19" s="58">
        <f t="shared" si="5"/>
        <v>30</v>
      </c>
      <c r="W19" s="188">
        <f t="shared" si="5"/>
        <v>20</v>
      </c>
      <c r="X19" s="58">
        <f t="shared" si="5"/>
        <v>8</v>
      </c>
      <c r="Y19" s="58">
        <f t="shared" ref="Y19:AC19" si="6">SUM(Y15:Y18)</f>
        <v>210</v>
      </c>
      <c r="Z19" s="58">
        <f t="shared" si="6"/>
        <v>75</v>
      </c>
      <c r="AA19" s="58">
        <f t="shared" si="6"/>
        <v>65</v>
      </c>
      <c r="AB19" s="58">
        <f t="shared" si="6"/>
        <v>20</v>
      </c>
      <c r="AC19" s="58">
        <f t="shared" si="6"/>
        <v>50</v>
      </c>
      <c r="AD19" s="58">
        <f>SUM(AD15:AD18)</f>
        <v>350</v>
      </c>
      <c r="AE19" s="58">
        <f>SUM(AE15:AE18)</f>
        <v>14</v>
      </c>
    </row>
    <row r="20" spans="1:31" ht="19.5" customHeight="1">
      <c r="A20" s="52" t="s">
        <v>34</v>
      </c>
      <c r="B20" s="53"/>
      <c r="C20" s="54"/>
      <c r="D20" s="53"/>
      <c r="E20" s="53"/>
      <c r="F20" s="53"/>
      <c r="G20" s="55"/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U20" s="55"/>
      <c r="V20" s="55"/>
      <c r="W20" s="55"/>
      <c r="X20" s="55"/>
      <c r="Y20" s="55"/>
      <c r="Z20" s="55"/>
      <c r="AA20" s="55"/>
      <c r="AB20" s="55"/>
      <c r="AC20" s="55"/>
      <c r="AD20" s="55"/>
      <c r="AE20" s="56"/>
    </row>
    <row r="21" spans="1:31" ht="30.75" customHeight="1">
      <c r="A21" s="59">
        <v>4.0999999999999996</v>
      </c>
      <c r="B21" s="46" t="s">
        <v>47</v>
      </c>
      <c r="C21" s="47" t="str">
        <f>RAZEM!C29</f>
        <v>0912-7LEK-B4.1-S</v>
      </c>
      <c r="D21" s="48"/>
      <c r="E21" s="275">
        <v>1</v>
      </c>
      <c r="F21" s="49"/>
      <c r="G21" s="140"/>
      <c r="H21" s="165"/>
      <c r="I21" s="140"/>
      <c r="J21" s="140"/>
      <c r="K21" s="140"/>
      <c r="L21" s="140"/>
      <c r="M21" s="140"/>
      <c r="N21" s="140"/>
      <c r="O21" s="140"/>
      <c r="P21" s="138">
        <v>15</v>
      </c>
      <c r="Q21" s="167">
        <v>10</v>
      </c>
      <c r="R21" s="138"/>
      <c r="S21" s="138"/>
      <c r="T21" s="138"/>
      <c r="U21" s="138"/>
      <c r="V21" s="138"/>
      <c r="W21" s="138"/>
      <c r="X21" s="138">
        <v>1</v>
      </c>
      <c r="Y21" s="50">
        <f>SUM(Z21:AC21)</f>
        <v>15</v>
      </c>
      <c r="Z21" s="50">
        <f t="shared" ref="Z21:Z24" si="7">SUM(G21,P21)</f>
        <v>15</v>
      </c>
      <c r="AA21" s="50">
        <f t="shared" ref="AA21:AA24" si="8">SUM(I21,R21)</f>
        <v>0</v>
      </c>
      <c r="AB21" s="50">
        <f t="shared" ref="AB21:AB24" si="9">SUM(K21,T21)</f>
        <v>0</v>
      </c>
      <c r="AC21" s="50">
        <f t="shared" ref="AC21:AC24" si="10">SUM(M21,V21)</f>
        <v>0</v>
      </c>
      <c r="AD21" s="50">
        <f t="shared" ref="AD21:AD22" si="11">SUM(H21:N21,P21:W21)</f>
        <v>25</v>
      </c>
      <c r="AE21" s="50">
        <f t="shared" ref="AE21:AE24" si="12">SUM(O21,X21)</f>
        <v>1</v>
      </c>
    </row>
    <row r="22" spans="1:31" ht="24.75" customHeight="1">
      <c r="A22" s="45">
        <v>4.2</v>
      </c>
      <c r="B22" s="46" t="s">
        <v>48</v>
      </c>
      <c r="C22" s="47" t="str">
        <f>RAZEM!C30</f>
        <v>0912-7LEK-B4.2-P</v>
      </c>
      <c r="D22" s="48"/>
      <c r="E22" s="275">
        <v>2</v>
      </c>
      <c r="F22" s="49"/>
      <c r="G22" s="140"/>
      <c r="H22" s="165"/>
      <c r="I22" s="140"/>
      <c r="J22" s="140"/>
      <c r="K22" s="140"/>
      <c r="L22" s="140"/>
      <c r="M22" s="140"/>
      <c r="N22" s="140"/>
      <c r="O22" s="140"/>
      <c r="P22" s="138">
        <v>15</v>
      </c>
      <c r="Q22" s="167">
        <v>10</v>
      </c>
      <c r="R22" s="138"/>
      <c r="S22" s="138"/>
      <c r="T22" s="138"/>
      <c r="U22" s="138"/>
      <c r="V22" s="138"/>
      <c r="W22" s="138"/>
      <c r="X22" s="138">
        <v>1</v>
      </c>
      <c r="Y22" s="50">
        <f t="shared" ref="Y22:Y25" si="13">SUM(Z22:AC22)</f>
        <v>15</v>
      </c>
      <c r="Z22" s="50">
        <f t="shared" si="7"/>
        <v>15</v>
      </c>
      <c r="AA22" s="50">
        <f t="shared" si="8"/>
        <v>0</v>
      </c>
      <c r="AB22" s="50">
        <f t="shared" si="9"/>
        <v>0</v>
      </c>
      <c r="AC22" s="50">
        <f t="shared" si="10"/>
        <v>0</v>
      </c>
      <c r="AD22" s="50">
        <f t="shared" si="11"/>
        <v>25</v>
      </c>
      <c r="AE22" s="50">
        <f t="shared" si="12"/>
        <v>1</v>
      </c>
    </row>
    <row r="23" spans="1:31" ht="24.75" customHeight="1">
      <c r="A23" s="59">
        <v>4.3</v>
      </c>
      <c r="B23" s="46" t="s">
        <v>49</v>
      </c>
      <c r="C23" s="47" t="str">
        <f>RAZEM!C31</f>
        <v>0912-7LEK-B4.3-E</v>
      </c>
      <c r="D23" s="48"/>
      <c r="E23" s="275">
        <v>1</v>
      </c>
      <c r="F23" s="49"/>
      <c r="G23" s="140">
        <v>15</v>
      </c>
      <c r="H23" s="165">
        <v>10</v>
      </c>
      <c r="I23" s="140"/>
      <c r="J23" s="140"/>
      <c r="K23" s="140"/>
      <c r="L23" s="140"/>
      <c r="M23" s="140"/>
      <c r="N23" s="140"/>
      <c r="O23" s="140">
        <v>1</v>
      </c>
      <c r="P23" s="138"/>
      <c r="Q23" s="167"/>
      <c r="R23" s="138"/>
      <c r="S23" s="138"/>
      <c r="T23" s="138"/>
      <c r="U23" s="138"/>
      <c r="V23" s="138"/>
      <c r="W23" s="138"/>
      <c r="X23" s="138"/>
      <c r="Y23" s="50">
        <f t="shared" si="13"/>
        <v>15</v>
      </c>
      <c r="Z23" s="50">
        <f t="shared" si="7"/>
        <v>15</v>
      </c>
      <c r="AA23" s="50">
        <f t="shared" si="8"/>
        <v>0</v>
      </c>
      <c r="AB23" s="50">
        <f t="shared" si="9"/>
        <v>0</v>
      </c>
      <c r="AC23" s="50">
        <f t="shared" si="10"/>
        <v>0</v>
      </c>
      <c r="AD23" s="50">
        <f>SUM(G23:N23,P23:W23)</f>
        <v>25</v>
      </c>
      <c r="AE23" s="50">
        <f t="shared" si="12"/>
        <v>1</v>
      </c>
    </row>
    <row r="24" spans="1:31" ht="24.75" customHeight="1">
      <c r="A24" s="45">
        <v>4.4000000000000004</v>
      </c>
      <c r="B24" s="46" t="s">
        <v>92</v>
      </c>
      <c r="C24" s="47" t="str">
        <f>RAZEM!C32</f>
        <v>0912-7LEK-B4.4-E</v>
      </c>
      <c r="D24" s="48"/>
      <c r="E24" s="275">
        <v>1</v>
      </c>
      <c r="F24" s="49"/>
      <c r="G24" s="140">
        <v>15</v>
      </c>
      <c r="H24" s="165">
        <v>10</v>
      </c>
      <c r="I24" s="140"/>
      <c r="J24" s="140"/>
      <c r="K24" s="140"/>
      <c r="L24" s="140"/>
      <c r="M24" s="140"/>
      <c r="N24" s="140"/>
      <c r="O24" s="140">
        <v>1</v>
      </c>
      <c r="P24" s="138"/>
      <c r="Q24" s="167"/>
      <c r="R24" s="138"/>
      <c r="S24" s="138"/>
      <c r="T24" s="138"/>
      <c r="U24" s="138"/>
      <c r="V24" s="138"/>
      <c r="W24" s="138"/>
      <c r="X24" s="138"/>
      <c r="Y24" s="50">
        <f t="shared" si="13"/>
        <v>15</v>
      </c>
      <c r="Z24" s="50">
        <f t="shared" si="7"/>
        <v>15</v>
      </c>
      <c r="AA24" s="50">
        <f t="shared" si="8"/>
        <v>0</v>
      </c>
      <c r="AB24" s="50">
        <f t="shared" si="9"/>
        <v>0</v>
      </c>
      <c r="AC24" s="50">
        <f t="shared" si="10"/>
        <v>0</v>
      </c>
      <c r="AD24" s="50">
        <f t="shared" ref="AD24" si="14">SUM(G24:N24,P24:W24)</f>
        <v>25</v>
      </c>
      <c r="AE24" s="50">
        <f t="shared" si="12"/>
        <v>1</v>
      </c>
    </row>
    <row r="25" spans="1:31" ht="15.75">
      <c r="A25" s="351">
        <v>4.5</v>
      </c>
      <c r="B25" s="46" t="s">
        <v>50</v>
      </c>
      <c r="C25" s="352" t="s">
        <v>310</v>
      </c>
      <c r="D25" s="353"/>
      <c r="E25" s="353" t="s">
        <v>275</v>
      </c>
      <c r="F25" s="353"/>
      <c r="G25" s="140">
        <v>30</v>
      </c>
      <c r="H25" s="354"/>
      <c r="I25" s="354"/>
      <c r="J25" s="354"/>
      <c r="K25" s="354"/>
      <c r="L25" s="354"/>
      <c r="M25" s="354"/>
      <c r="N25" s="354"/>
      <c r="O25" s="140">
        <v>1</v>
      </c>
      <c r="P25" s="355"/>
      <c r="Q25" s="355"/>
      <c r="R25" s="355"/>
      <c r="S25" s="355"/>
      <c r="T25" s="355"/>
      <c r="U25" s="355"/>
      <c r="V25" s="355"/>
      <c r="W25" s="355"/>
      <c r="X25" s="355"/>
      <c r="Y25" s="50">
        <f t="shared" si="13"/>
        <v>30</v>
      </c>
      <c r="Z25" s="423">
        <f>SUM(G25,P25)</f>
        <v>30</v>
      </c>
      <c r="AA25" s="422">
        <f>SUM(I25,R25)</f>
        <v>0</v>
      </c>
      <c r="AB25" s="422">
        <f>SUM(K25,T25)</f>
        <v>0</v>
      </c>
      <c r="AC25" s="422">
        <f>SUM(M25,V25)</f>
        <v>0</v>
      </c>
      <c r="AD25" s="423">
        <f>SUM(G25:N25,P25:W25)</f>
        <v>30</v>
      </c>
      <c r="AE25" s="422">
        <f>SUM(O25,X25)</f>
        <v>1</v>
      </c>
    </row>
    <row r="26" spans="1:31" ht="15.75">
      <c r="A26" s="474" t="s">
        <v>9</v>
      </c>
      <c r="B26" s="475"/>
      <c r="C26" s="475"/>
      <c r="D26" s="475"/>
      <c r="E26" s="475"/>
      <c r="F26" s="476"/>
      <c r="G26" s="58">
        <f t="shared" ref="G26:AE26" si="15">SUM(G21:G25)</f>
        <v>60</v>
      </c>
      <c r="H26" s="188">
        <f t="shared" si="15"/>
        <v>20</v>
      </c>
      <c r="I26" s="58">
        <f t="shared" si="15"/>
        <v>0</v>
      </c>
      <c r="J26" s="188">
        <f t="shared" si="15"/>
        <v>0</v>
      </c>
      <c r="K26" s="58">
        <f t="shared" si="15"/>
        <v>0</v>
      </c>
      <c r="L26" s="188">
        <f t="shared" si="15"/>
        <v>0</v>
      </c>
      <c r="M26" s="58">
        <f t="shared" si="15"/>
        <v>0</v>
      </c>
      <c r="N26" s="188">
        <f t="shared" si="15"/>
        <v>0</v>
      </c>
      <c r="O26" s="58">
        <f t="shared" si="15"/>
        <v>3</v>
      </c>
      <c r="P26" s="58">
        <f t="shared" si="15"/>
        <v>30</v>
      </c>
      <c r="Q26" s="188">
        <f t="shared" si="15"/>
        <v>20</v>
      </c>
      <c r="R26" s="58">
        <f t="shared" si="15"/>
        <v>0</v>
      </c>
      <c r="S26" s="188">
        <f t="shared" si="15"/>
        <v>0</v>
      </c>
      <c r="T26" s="58">
        <f t="shared" si="15"/>
        <v>0</v>
      </c>
      <c r="U26" s="188">
        <f t="shared" si="15"/>
        <v>0</v>
      </c>
      <c r="V26" s="58">
        <f t="shared" si="15"/>
        <v>0</v>
      </c>
      <c r="W26" s="188">
        <f t="shared" si="15"/>
        <v>0</v>
      </c>
      <c r="X26" s="58">
        <f t="shared" si="15"/>
        <v>2</v>
      </c>
      <c r="Y26" s="58">
        <f t="shared" si="15"/>
        <v>90</v>
      </c>
      <c r="Z26" s="58">
        <f t="shared" si="15"/>
        <v>90</v>
      </c>
      <c r="AA26" s="58">
        <f t="shared" si="15"/>
        <v>0</v>
      </c>
      <c r="AB26" s="58">
        <f t="shared" si="15"/>
        <v>0</v>
      </c>
      <c r="AC26" s="58">
        <f t="shared" si="15"/>
        <v>0</v>
      </c>
      <c r="AD26" s="58">
        <f t="shared" si="15"/>
        <v>130</v>
      </c>
      <c r="AE26" s="58">
        <f t="shared" si="15"/>
        <v>5</v>
      </c>
    </row>
    <row r="27" spans="1:31" ht="20.25" customHeight="1">
      <c r="A27" s="52" t="s">
        <v>29</v>
      </c>
      <c r="B27" s="53"/>
      <c r="C27" s="54"/>
      <c r="D27" s="53"/>
      <c r="E27" s="53"/>
      <c r="F27" s="53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  <c r="U27" s="55"/>
      <c r="V27" s="55"/>
      <c r="W27" s="55"/>
      <c r="X27" s="55"/>
      <c r="Y27" s="55"/>
      <c r="Z27" s="55"/>
      <c r="AA27" s="55"/>
      <c r="AB27" s="55"/>
      <c r="AC27" s="55"/>
      <c r="AD27" s="55"/>
      <c r="AE27" s="56"/>
    </row>
    <row r="28" spans="1:31" ht="28.5" customHeight="1">
      <c r="A28" s="59">
        <v>9.1</v>
      </c>
      <c r="B28" s="61" t="s">
        <v>83</v>
      </c>
      <c r="C28" s="47" t="str">
        <f>"0912-7LEK-C"&amp;A28&amp;"-"&amp;UPPER(LEFT(B28,1))</f>
        <v>0912-7LEK-C9.1-O</v>
      </c>
      <c r="D28" s="48"/>
      <c r="E28" s="49">
        <v>2</v>
      </c>
      <c r="F28" s="49"/>
      <c r="G28" s="140"/>
      <c r="H28" s="140"/>
      <c r="I28" s="140"/>
      <c r="J28" s="140"/>
      <c r="K28" s="140"/>
      <c r="L28" s="140"/>
      <c r="M28" s="140"/>
      <c r="N28" s="140"/>
      <c r="O28" s="140"/>
      <c r="P28" s="138"/>
      <c r="Q28" s="138"/>
      <c r="R28" s="138"/>
      <c r="S28" s="138"/>
      <c r="T28" s="138">
        <v>120</v>
      </c>
      <c r="U28" s="138"/>
      <c r="V28" s="138"/>
      <c r="W28" s="138"/>
      <c r="X28" s="138">
        <v>4</v>
      </c>
      <c r="Y28" s="50">
        <f>SUM(Z28:AC28)</f>
        <v>120</v>
      </c>
      <c r="Z28" s="50">
        <f>SUM(G28,P28)</f>
        <v>0</v>
      </c>
      <c r="AA28" s="50">
        <f>SUM(I28,R28)</f>
        <v>0</v>
      </c>
      <c r="AB28" s="50">
        <f>SUM(K28,T28)</f>
        <v>120</v>
      </c>
      <c r="AC28" s="50">
        <f>SUM(M28,V28)</f>
        <v>0</v>
      </c>
      <c r="AD28" s="50">
        <f>SUM(G28:N28,P28:W28)</f>
        <v>120</v>
      </c>
      <c r="AE28" s="50">
        <f>SUM(O28,X28)</f>
        <v>4</v>
      </c>
    </row>
    <row r="29" spans="1:31" ht="15.75">
      <c r="A29" s="474" t="s">
        <v>9</v>
      </c>
      <c r="B29" s="475"/>
      <c r="C29" s="475"/>
      <c r="D29" s="475"/>
      <c r="E29" s="475"/>
      <c r="F29" s="476"/>
      <c r="G29" s="58">
        <f>SUM(G28:G28)</f>
        <v>0</v>
      </c>
      <c r="H29" s="188">
        <f t="shared" ref="H29:X29" si="16">SUM(H28:H28)</f>
        <v>0</v>
      </c>
      <c r="I29" s="58">
        <f t="shared" si="16"/>
        <v>0</v>
      </c>
      <c r="J29" s="188">
        <f t="shared" si="16"/>
        <v>0</v>
      </c>
      <c r="K29" s="58">
        <f t="shared" si="16"/>
        <v>0</v>
      </c>
      <c r="L29" s="188">
        <f t="shared" si="16"/>
        <v>0</v>
      </c>
      <c r="M29" s="58">
        <f t="shared" si="16"/>
        <v>0</v>
      </c>
      <c r="N29" s="188">
        <f t="shared" si="16"/>
        <v>0</v>
      </c>
      <c r="O29" s="58">
        <f t="shared" si="16"/>
        <v>0</v>
      </c>
      <c r="P29" s="58">
        <f t="shared" si="16"/>
        <v>0</v>
      </c>
      <c r="Q29" s="188">
        <f t="shared" si="16"/>
        <v>0</v>
      </c>
      <c r="R29" s="58">
        <f t="shared" si="16"/>
        <v>0</v>
      </c>
      <c r="S29" s="188">
        <f t="shared" si="16"/>
        <v>0</v>
      </c>
      <c r="T29" s="58">
        <f t="shared" si="16"/>
        <v>120</v>
      </c>
      <c r="U29" s="188">
        <f t="shared" si="16"/>
        <v>0</v>
      </c>
      <c r="V29" s="58">
        <f t="shared" si="16"/>
        <v>0</v>
      </c>
      <c r="W29" s="188">
        <f t="shared" si="16"/>
        <v>0</v>
      </c>
      <c r="X29" s="58">
        <f t="shared" si="16"/>
        <v>4</v>
      </c>
      <c r="Y29" s="58">
        <f>SUM(Y28:Y28)</f>
        <v>120</v>
      </c>
      <c r="Z29" s="58">
        <f t="shared" ref="Z29:AE29" si="17">SUM(Z28)</f>
        <v>0</v>
      </c>
      <c r="AA29" s="58">
        <f t="shared" si="17"/>
        <v>0</v>
      </c>
      <c r="AB29" s="58">
        <f t="shared" si="17"/>
        <v>120</v>
      </c>
      <c r="AC29" s="58">
        <f t="shared" si="17"/>
        <v>0</v>
      </c>
      <c r="AD29" s="58">
        <f t="shared" si="17"/>
        <v>120</v>
      </c>
      <c r="AE29" s="58">
        <f t="shared" si="17"/>
        <v>4</v>
      </c>
    </row>
    <row r="30" spans="1:31" ht="25.5" customHeight="1">
      <c r="A30" s="108" t="s">
        <v>31</v>
      </c>
      <c r="B30" s="109"/>
      <c r="C30" s="110"/>
      <c r="D30" s="109"/>
      <c r="E30" s="109"/>
      <c r="F30" s="109"/>
      <c r="G30" s="111"/>
      <c r="H30" s="111"/>
      <c r="I30" s="111"/>
      <c r="J30" s="111"/>
      <c r="K30" s="111"/>
      <c r="L30" s="111"/>
      <c r="M30" s="111"/>
      <c r="N30" s="111"/>
      <c r="O30" s="111"/>
      <c r="P30" s="111"/>
      <c r="Q30" s="111"/>
      <c r="R30" s="111"/>
      <c r="S30" s="111"/>
      <c r="T30" s="111"/>
      <c r="U30" s="111"/>
      <c r="V30" s="111"/>
      <c r="W30" s="111"/>
      <c r="X30" s="111"/>
      <c r="Y30" s="111"/>
      <c r="Z30" s="111"/>
      <c r="AA30" s="111"/>
      <c r="AB30" s="111"/>
      <c r="AC30" s="111"/>
      <c r="AD30" s="111"/>
      <c r="AE30" s="112"/>
    </row>
    <row r="31" spans="1:31" ht="24" customHeight="1">
      <c r="A31" s="154">
        <v>10.1</v>
      </c>
      <c r="B31" s="62" t="s">
        <v>17</v>
      </c>
      <c r="C31" s="47" t="str">
        <f>RAZEM!C34</f>
        <v>0912-7LEK-A4.6-JA</v>
      </c>
      <c r="D31" s="274">
        <v>4</v>
      </c>
      <c r="E31" s="171" t="s">
        <v>239</v>
      </c>
      <c r="F31" s="275"/>
      <c r="G31" s="140"/>
      <c r="H31" s="165"/>
      <c r="I31" s="140">
        <v>30</v>
      </c>
      <c r="J31" s="165">
        <v>15</v>
      </c>
      <c r="K31" s="140"/>
      <c r="L31" s="140"/>
      <c r="M31" s="140"/>
      <c r="N31" s="140"/>
      <c r="O31" s="140">
        <v>1.5</v>
      </c>
      <c r="P31" s="138"/>
      <c r="Q31" s="138"/>
      <c r="R31" s="138">
        <v>30</v>
      </c>
      <c r="S31" s="167">
        <v>15</v>
      </c>
      <c r="T31" s="138"/>
      <c r="U31" s="138"/>
      <c r="V31" s="138"/>
      <c r="W31" s="138"/>
      <c r="X31" s="138">
        <v>1.5</v>
      </c>
      <c r="Y31" s="50">
        <f>SUM(Z31:AC31)</f>
        <v>60</v>
      </c>
      <c r="Z31" s="50">
        <f>SUM(G31,P31)</f>
        <v>0</v>
      </c>
      <c r="AA31" s="50">
        <f>SUM(I31,R31)</f>
        <v>60</v>
      </c>
      <c r="AB31" s="50">
        <f>SUM(K31,T31)</f>
        <v>0</v>
      </c>
      <c r="AC31" s="50">
        <f>SUM(M31,V31)</f>
        <v>0</v>
      </c>
      <c r="AD31" s="50">
        <f>SUM(G31:N31,P31:W31)</f>
        <v>90</v>
      </c>
      <c r="AE31" s="50">
        <f>SUM(O31,X31)</f>
        <v>3</v>
      </c>
    </row>
    <row r="32" spans="1:31" ht="24" customHeight="1">
      <c r="A32" s="154">
        <v>10.199999999999999</v>
      </c>
      <c r="B32" s="62" t="s">
        <v>205</v>
      </c>
      <c r="C32" s="47" t="str">
        <f>RAZEM!C95</f>
        <v>0912-7LEK-A10.2-JO</v>
      </c>
      <c r="D32" s="275"/>
      <c r="E32" s="275" t="s">
        <v>275</v>
      </c>
      <c r="F32" s="275"/>
      <c r="G32" s="140"/>
      <c r="H32" s="165"/>
      <c r="I32" s="140">
        <v>25</v>
      </c>
      <c r="J32" s="165">
        <v>5</v>
      </c>
      <c r="K32" s="140"/>
      <c r="L32" s="140"/>
      <c r="M32" s="140"/>
      <c r="N32" s="140"/>
      <c r="O32" s="140">
        <v>1</v>
      </c>
      <c r="P32" s="138"/>
      <c r="Q32" s="138"/>
      <c r="R32" s="138">
        <v>25</v>
      </c>
      <c r="S32" s="167">
        <v>5</v>
      </c>
      <c r="T32" s="138"/>
      <c r="U32" s="138"/>
      <c r="V32" s="138"/>
      <c r="W32" s="138"/>
      <c r="X32" s="138">
        <v>1</v>
      </c>
      <c r="Y32" s="50">
        <f t="shared" ref="Y32:Y36" si="18">SUM(Z32:AC32)</f>
        <v>50</v>
      </c>
      <c r="Z32" s="50">
        <f t="shared" ref="Z32" si="19">SUM(G32,P32)</f>
        <v>0</v>
      </c>
      <c r="AA32" s="50">
        <f t="shared" ref="AA32" si="20">SUM(I32,R32)</f>
        <v>50</v>
      </c>
      <c r="AB32" s="50">
        <f t="shared" ref="AB32" si="21">SUM(K32,T32)</f>
        <v>0</v>
      </c>
      <c r="AC32" s="50">
        <f t="shared" ref="AC32" si="22">SUM(M32,V32)</f>
        <v>0</v>
      </c>
      <c r="AD32" s="50">
        <f t="shared" ref="AD32:AD33" si="23">SUM(G32:N32,P32:W32)</f>
        <v>60</v>
      </c>
      <c r="AE32" s="50">
        <f t="shared" ref="AE32" si="24">SUM(O32,X32)</f>
        <v>2</v>
      </c>
    </row>
    <row r="33" spans="1:34" ht="23.25" customHeight="1">
      <c r="A33" s="154">
        <v>10.3</v>
      </c>
      <c r="B33" s="62" t="s">
        <v>19</v>
      </c>
      <c r="C33" s="47" t="str">
        <f>RAZEM!C96</f>
        <v>0912-7LEK-A10.3-JŁ</v>
      </c>
      <c r="D33" s="275"/>
      <c r="E33" s="275">
        <v>1</v>
      </c>
      <c r="F33" s="275"/>
      <c r="G33" s="140"/>
      <c r="H33" s="165"/>
      <c r="I33" s="140">
        <v>30</v>
      </c>
      <c r="J33" s="165"/>
      <c r="K33" s="140"/>
      <c r="L33" s="140"/>
      <c r="M33" s="140"/>
      <c r="N33" s="140"/>
      <c r="O33" s="140">
        <v>1</v>
      </c>
      <c r="P33" s="138"/>
      <c r="Q33" s="138"/>
      <c r="R33" s="138"/>
      <c r="S33" s="167"/>
      <c r="T33" s="138"/>
      <c r="U33" s="138"/>
      <c r="V33" s="138"/>
      <c r="W33" s="138"/>
      <c r="X33" s="138"/>
      <c r="Y33" s="50">
        <f t="shared" si="18"/>
        <v>30</v>
      </c>
      <c r="Z33" s="50">
        <f t="shared" ref="Z33" si="25">SUM(G33,P33)</f>
        <v>0</v>
      </c>
      <c r="AA33" s="50">
        <f t="shared" ref="AA33" si="26">SUM(I33,R33)</f>
        <v>30</v>
      </c>
      <c r="AB33" s="50">
        <f t="shared" ref="AB33" si="27">SUM(K33,T33)</f>
        <v>0</v>
      </c>
      <c r="AC33" s="50">
        <f t="shared" ref="AC33" si="28">SUM(M33,V33)</f>
        <v>0</v>
      </c>
      <c r="AD33" s="50">
        <f t="shared" si="23"/>
        <v>30</v>
      </c>
      <c r="AE33" s="50">
        <f t="shared" ref="AE33" si="29">SUM(O33,X33)</f>
        <v>1</v>
      </c>
    </row>
    <row r="34" spans="1:34" ht="24" customHeight="1">
      <c r="A34" s="154">
        <v>10.4</v>
      </c>
      <c r="B34" s="62" t="s">
        <v>87</v>
      </c>
      <c r="C34" s="47" t="str">
        <f>RAZEM!C97</f>
        <v>0912-7LEK-A10.4-PB</v>
      </c>
      <c r="D34" s="275"/>
      <c r="E34" s="275"/>
      <c r="F34" s="275">
        <v>1</v>
      </c>
      <c r="G34" s="140"/>
      <c r="H34" s="165"/>
      <c r="I34" s="140">
        <v>2</v>
      </c>
      <c r="J34" s="165"/>
      <c r="K34" s="140"/>
      <c r="L34" s="140"/>
      <c r="M34" s="140"/>
      <c r="N34" s="140"/>
      <c r="O34" s="140">
        <v>0</v>
      </c>
      <c r="P34" s="138"/>
      <c r="Q34" s="138"/>
      <c r="R34" s="138"/>
      <c r="S34" s="167"/>
      <c r="T34" s="138"/>
      <c r="U34" s="138"/>
      <c r="V34" s="138"/>
      <c r="W34" s="138"/>
      <c r="X34" s="138"/>
      <c r="Y34" s="50">
        <f t="shared" si="18"/>
        <v>2</v>
      </c>
      <c r="Z34" s="50">
        <f>SUM(G34,P34)</f>
        <v>0</v>
      </c>
      <c r="AA34" s="50">
        <f>SUM(I34,R34)</f>
        <v>2</v>
      </c>
      <c r="AB34" s="50">
        <f>SUM(K34,T34)</f>
        <v>0</v>
      </c>
      <c r="AC34" s="50">
        <f>SUM(M34,V34)</f>
        <v>0</v>
      </c>
      <c r="AD34" s="50">
        <f>SUM(G34:N34,P34:W34)</f>
        <v>2</v>
      </c>
      <c r="AE34" s="50">
        <f>SUM(O34,X34)</f>
        <v>0</v>
      </c>
    </row>
    <row r="35" spans="1:34" ht="24" customHeight="1">
      <c r="A35" s="154">
        <v>10.5</v>
      </c>
      <c r="B35" s="62" t="s">
        <v>30</v>
      </c>
      <c r="C35" s="47" t="str">
        <f>RAZEM!C98</f>
        <v>0912-7LEK-A10.5-BHP</v>
      </c>
      <c r="D35" s="275"/>
      <c r="E35" s="275"/>
      <c r="F35" s="275">
        <v>1</v>
      </c>
      <c r="G35" s="140">
        <v>5</v>
      </c>
      <c r="H35" s="165"/>
      <c r="I35" s="140"/>
      <c r="J35" s="165"/>
      <c r="K35" s="140"/>
      <c r="L35" s="140"/>
      <c r="M35" s="140"/>
      <c r="N35" s="140"/>
      <c r="O35" s="140">
        <v>0</v>
      </c>
      <c r="P35" s="138"/>
      <c r="Q35" s="138"/>
      <c r="R35" s="138"/>
      <c r="S35" s="167"/>
      <c r="T35" s="138"/>
      <c r="U35" s="138"/>
      <c r="V35" s="138"/>
      <c r="W35" s="138"/>
      <c r="X35" s="138"/>
      <c r="Y35" s="50">
        <f t="shared" si="18"/>
        <v>5</v>
      </c>
      <c r="Z35" s="50">
        <f>SUM(G35,P35)</f>
        <v>5</v>
      </c>
      <c r="AA35" s="50">
        <f>SUM(I35,R35)</f>
        <v>0</v>
      </c>
      <c r="AB35" s="50">
        <f>SUM(K35,T35)</f>
        <v>0</v>
      </c>
      <c r="AC35" s="50">
        <f>SUM(M35,V35)</f>
        <v>0</v>
      </c>
      <c r="AD35" s="50">
        <f t="shared" ref="AD35" si="30">SUM(G35:N35,P35:W35)</f>
        <v>5</v>
      </c>
      <c r="AE35" s="50">
        <f>SUM(O35,X35)</f>
        <v>0</v>
      </c>
    </row>
    <row r="36" spans="1:34" ht="24" customHeight="1">
      <c r="A36" s="154">
        <v>10.6</v>
      </c>
      <c r="B36" s="62" t="s">
        <v>109</v>
      </c>
      <c r="C36" s="47" t="str">
        <f>RAZEM!C99</f>
        <v>0912-7LEK-A10.6-WF</v>
      </c>
      <c r="D36" s="275"/>
      <c r="E36" s="275"/>
      <c r="F36" s="275" t="s">
        <v>124</v>
      </c>
      <c r="G36" s="140"/>
      <c r="H36" s="165"/>
      <c r="I36" s="140">
        <v>15</v>
      </c>
      <c r="J36" s="165"/>
      <c r="K36" s="140"/>
      <c r="L36" s="140"/>
      <c r="M36" s="140"/>
      <c r="N36" s="140"/>
      <c r="O36" s="140">
        <v>0</v>
      </c>
      <c r="P36" s="138"/>
      <c r="Q36" s="138"/>
      <c r="R36" s="138">
        <v>15</v>
      </c>
      <c r="S36" s="167"/>
      <c r="T36" s="138"/>
      <c r="U36" s="138"/>
      <c r="V36" s="138"/>
      <c r="W36" s="138"/>
      <c r="X36" s="138">
        <v>0</v>
      </c>
      <c r="Y36" s="50">
        <f t="shared" si="18"/>
        <v>30</v>
      </c>
      <c r="Z36" s="50">
        <f>SUM(G36,P36)</f>
        <v>0</v>
      </c>
      <c r="AA36" s="50">
        <f>SUM(I36,R36)</f>
        <v>30</v>
      </c>
      <c r="AB36" s="50">
        <f>SUM(K36,T36)</f>
        <v>0</v>
      </c>
      <c r="AC36" s="50">
        <f>SUM(M36,V36)</f>
        <v>0</v>
      </c>
      <c r="AD36" s="50">
        <f t="shared" ref="AD36" si="31">SUM(G36:N36,P36:W36)</f>
        <v>30</v>
      </c>
      <c r="AE36" s="50">
        <f>SUM(O36,X36)</f>
        <v>0</v>
      </c>
    </row>
    <row r="37" spans="1:34" ht="15.75">
      <c r="A37" s="474" t="s">
        <v>9</v>
      </c>
      <c r="B37" s="475"/>
      <c r="C37" s="475"/>
      <c r="D37" s="475"/>
      <c r="E37" s="475"/>
      <c r="F37" s="476"/>
      <c r="G37" s="58">
        <f t="shared" ref="G37:AE37" si="32">SUM(G31:G36)</f>
        <v>5</v>
      </c>
      <c r="H37" s="188">
        <f t="shared" si="32"/>
        <v>0</v>
      </c>
      <c r="I37" s="58">
        <f t="shared" si="32"/>
        <v>102</v>
      </c>
      <c r="J37" s="188">
        <f t="shared" si="32"/>
        <v>20</v>
      </c>
      <c r="K37" s="58">
        <f t="shared" si="32"/>
        <v>0</v>
      </c>
      <c r="L37" s="188">
        <f t="shared" si="32"/>
        <v>0</v>
      </c>
      <c r="M37" s="58">
        <f t="shared" si="32"/>
        <v>0</v>
      </c>
      <c r="N37" s="188">
        <f t="shared" si="32"/>
        <v>0</v>
      </c>
      <c r="O37" s="58">
        <f t="shared" si="32"/>
        <v>3.5</v>
      </c>
      <c r="P37" s="58">
        <f t="shared" si="32"/>
        <v>0</v>
      </c>
      <c r="Q37" s="188">
        <f t="shared" si="32"/>
        <v>0</v>
      </c>
      <c r="R37" s="58">
        <f t="shared" si="32"/>
        <v>70</v>
      </c>
      <c r="S37" s="188">
        <f t="shared" si="32"/>
        <v>20</v>
      </c>
      <c r="T37" s="186">
        <f t="shared" si="32"/>
        <v>0</v>
      </c>
      <c r="U37" s="188">
        <f t="shared" si="32"/>
        <v>0</v>
      </c>
      <c r="V37" s="58">
        <f t="shared" si="32"/>
        <v>0</v>
      </c>
      <c r="W37" s="188">
        <f t="shared" si="32"/>
        <v>0</v>
      </c>
      <c r="X37" s="58">
        <f t="shared" si="32"/>
        <v>2.5</v>
      </c>
      <c r="Y37" s="58">
        <f t="shared" si="32"/>
        <v>177</v>
      </c>
      <c r="Z37" s="58">
        <f t="shared" si="32"/>
        <v>5</v>
      </c>
      <c r="AA37" s="58">
        <f t="shared" si="32"/>
        <v>172</v>
      </c>
      <c r="AB37" s="58">
        <f t="shared" si="32"/>
        <v>0</v>
      </c>
      <c r="AC37" s="58">
        <f t="shared" si="32"/>
        <v>0</v>
      </c>
      <c r="AD37" s="58">
        <f t="shared" si="32"/>
        <v>217</v>
      </c>
      <c r="AE37" s="58">
        <f t="shared" si="32"/>
        <v>6</v>
      </c>
    </row>
    <row r="38" spans="1:34" ht="22.5" customHeight="1">
      <c r="A38" s="52" t="s">
        <v>117</v>
      </c>
      <c r="B38" s="53"/>
      <c r="C38" s="54"/>
      <c r="D38" s="53"/>
      <c r="E38" s="53"/>
      <c r="F38" s="53"/>
      <c r="G38" s="55"/>
      <c r="H38" s="55"/>
      <c r="I38" s="55"/>
      <c r="J38" s="55"/>
      <c r="K38" s="55"/>
      <c r="L38" s="55"/>
      <c r="M38" s="55"/>
      <c r="N38" s="55"/>
      <c r="O38" s="55"/>
      <c r="P38" s="55"/>
      <c r="Q38" s="55"/>
      <c r="R38" s="55"/>
      <c r="S38" s="55"/>
      <c r="T38" s="55"/>
      <c r="U38" s="55"/>
      <c r="V38" s="55"/>
      <c r="W38" s="55"/>
      <c r="X38" s="55"/>
      <c r="Y38" s="55"/>
      <c r="Z38" s="55"/>
      <c r="AA38" s="55"/>
      <c r="AB38" s="55"/>
      <c r="AC38" s="55"/>
      <c r="AD38" s="55"/>
      <c r="AE38" s="56"/>
    </row>
    <row r="39" spans="1:34" ht="23.25" customHeight="1">
      <c r="A39" s="153">
        <v>1</v>
      </c>
      <c r="B39" s="477" t="s">
        <v>118</v>
      </c>
      <c r="C39" s="478"/>
      <c r="D39" s="127"/>
      <c r="E39" s="129">
        <v>1</v>
      </c>
      <c r="F39" s="129"/>
      <c r="G39" s="140">
        <v>15</v>
      </c>
      <c r="H39" s="165">
        <v>10</v>
      </c>
      <c r="I39" s="140"/>
      <c r="J39" s="140"/>
      <c r="K39" s="140"/>
      <c r="L39" s="140"/>
      <c r="M39" s="140"/>
      <c r="N39" s="140"/>
      <c r="O39" s="140">
        <v>1</v>
      </c>
      <c r="P39" s="138"/>
      <c r="Q39" s="167"/>
      <c r="R39" s="138"/>
      <c r="S39" s="138"/>
      <c r="T39" s="138"/>
      <c r="U39" s="138"/>
      <c r="V39" s="138"/>
      <c r="W39" s="138"/>
      <c r="X39" s="138"/>
      <c r="Y39" s="50">
        <f>SUM(Z39:AC39)</f>
        <v>15</v>
      </c>
      <c r="Z39" s="50">
        <f>SUM(G39,P39)</f>
        <v>15</v>
      </c>
      <c r="AA39" s="50">
        <f>SUM(J39,R39)</f>
        <v>0</v>
      </c>
      <c r="AB39" s="50">
        <f>SUM(K40,T40)</f>
        <v>0</v>
      </c>
      <c r="AC39" s="50">
        <f t="shared" ref="AC39:AC42" si="33">SUM(M39,V39)</f>
        <v>0</v>
      </c>
      <c r="AD39" s="50">
        <f>SUM(G39:N39,P39:W39)</f>
        <v>25</v>
      </c>
      <c r="AE39" s="50">
        <f>SUM(O39,X39)</f>
        <v>1</v>
      </c>
    </row>
    <row r="40" spans="1:34" ht="23.25" customHeight="1">
      <c r="A40" s="153">
        <v>2</v>
      </c>
      <c r="B40" s="477" t="s">
        <v>118</v>
      </c>
      <c r="C40" s="478"/>
      <c r="D40" s="127"/>
      <c r="E40" s="129">
        <v>1</v>
      </c>
      <c r="F40" s="129"/>
      <c r="G40" s="140">
        <v>15</v>
      </c>
      <c r="H40" s="165">
        <v>10</v>
      </c>
      <c r="I40" s="140"/>
      <c r="J40" s="140"/>
      <c r="K40" s="140"/>
      <c r="L40" s="140"/>
      <c r="M40" s="140"/>
      <c r="N40" s="140"/>
      <c r="O40" s="140">
        <v>1</v>
      </c>
      <c r="P40" s="138"/>
      <c r="Q40" s="167"/>
      <c r="R40" s="138"/>
      <c r="S40" s="138"/>
      <c r="T40" s="138"/>
      <c r="U40" s="138"/>
      <c r="V40" s="138"/>
      <c r="W40" s="138"/>
      <c r="X40" s="138"/>
      <c r="Y40" s="50">
        <f t="shared" ref="Y40:Y42" si="34">SUM(Z40:AC40)</f>
        <v>15</v>
      </c>
      <c r="Z40" s="50">
        <f t="shared" ref="Z40:Z42" si="35">SUM(G40,P40)</f>
        <v>15</v>
      </c>
      <c r="AA40" s="50">
        <f t="shared" ref="AA40:AA42" si="36">SUM(J40,R40)</f>
        <v>0</v>
      </c>
      <c r="AB40" s="50">
        <f t="shared" ref="AB40:AB42" si="37">SUM(K41,T41)</f>
        <v>0</v>
      </c>
      <c r="AC40" s="50">
        <f t="shared" si="33"/>
        <v>0</v>
      </c>
      <c r="AD40" s="50">
        <f t="shared" ref="AD40:AD42" si="38">SUM(G40:N40,P40:W40)</f>
        <v>25</v>
      </c>
      <c r="AE40" s="50">
        <f t="shared" ref="AE40:AE42" si="39">SUM(O40,X40)</f>
        <v>1</v>
      </c>
    </row>
    <row r="41" spans="1:34" ht="23.25" customHeight="1">
      <c r="A41" s="153">
        <v>3</v>
      </c>
      <c r="B41" s="477" t="s">
        <v>118</v>
      </c>
      <c r="C41" s="478"/>
      <c r="D41" s="127"/>
      <c r="E41" s="129">
        <v>2</v>
      </c>
      <c r="F41" s="129"/>
      <c r="G41" s="140"/>
      <c r="H41" s="165"/>
      <c r="I41" s="140"/>
      <c r="J41" s="140"/>
      <c r="K41" s="140"/>
      <c r="L41" s="140"/>
      <c r="M41" s="140"/>
      <c r="N41" s="142"/>
      <c r="O41" s="140"/>
      <c r="P41" s="138">
        <v>15</v>
      </c>
      <c r="Q41" s="167">
        <v>10</v>
      </c>
      <c r="R41" s="138"/>
      <c r="S41" s="138"/>
      <c r="T41" s="138"/>
      <c r="U41" s="138"/>
      <c r="V41" s="138"/>
      <c r="W41" s="138"/>
      <c r="X41" s="138">
        <v>1</v>
      </c>
      <c r="Y41" s="50">
        <f t="shared" si="34"/>
        <v>15</v>
      </c>
      <c r="Z41" s="50">
        <f t="shared" si="35"/>
        <v>15</v>
      </c>
      <c r="AA41" s="50">
        <f t="shared" si="36"/>
        <v>0</v>
      </c>
      <c r="AB41" s="50">
        <f t="shared" si="37"/>
        <v>0</v>
      </c>
      <c r="AC41" s="50">
        <f t="shared" si="33"/>
        <v>0</v>
      </c>
      <c r="AD41" s="50">
        <f t="shared" si="38"/>
        <v>25</v>
      </c>
      <c r="AE41" s="50">
        <f t="shared" si="39"/>
        <v>1</v>
      </c>
    </row>
    <row r="42" spans="1:34" ht="23.25" customHeight="1">
      <c r="A42" s="153">
        <v>4</v>
      </c>
      <c r="B42" s="477" t="s">
        <v>118</v>
      </c>
      <c r="C42" s="478"/>
      <c r="D42" s="127"/>
      <c r="E42" s="129">
        <v>2</v>
      </c>
      <c r="F42" s="129"/>
      <c r="G42" s="140"/>
      <c r="H42" s="165"/>
      <c r="I42" s="140"/>
      <c r="J42" s="140"/>
      <c r="K42" s="140"/>
      <c r="L42" s="140"/>
      <c r="M42" s="140"/>
      <c r="N42" s="140"/>
      <c r="O42" s="140"/>
      <c r="P42" s="138">
        <v>15</v>
      </c>
      <c r="Q42" s="167">
        <v>10</v>
      </c>
      <c r="R42" s="138"/>
      <c r="S42" s="138"/>
      <c r="T42" s="138"/>
      <c r="U42" s="138"/>
      <c r="V42" s="138"/>
      <c r="W42" s="138"/>
      <c r="X42" s="138">
        <v>1</v>
      </c>
      <c r="Y42" s="50">
        <f t="shared" si="34"/>
        <v>15</v>
      </c>
      <c r="Z42" s="50">
        <f t="shared" si="35"/>
        <v>15</v>
      </c>
      <c r="AA42" s="50">
        <f t="shared" si="36"/>
        <v>0</v>
      </c>
      <c r="AB42" s="50">
        <f t="shared" si="37"/>
        <v>0</v>
      </c>
      <c r="AC42" s="50">
        <f t="shared" si="33"/>
        <v>0</v>
      </c>
      <c r="AD42" s="50">
        <f t="shared" si="38"/>
        <v>25</v>
      </c>
      <c r="AE42" s="50">
        <f t="shared" si="39"/>
        <v>1</v>
      </c>
    </row>
    <row r="43" spans="1:34" s="67" customFormat="1" ht="21.75" customHeight="1" thickBot="1">
      <c r="A43" s="471" t="s">
        <v>9</v>
      </c>
      <c r="B43" s="472"/>
      <c r="C43" s="472"/>
      <c r="D43" s="472"/>
      <c r="E43" s="472"/>
      <c r="F43" s="473"/>
      <c r="G43" s="114">
        <f t="shared" ref="G43:Y43" si="40">SUM(G39:G42)</f>
        <v>30</v>
      </c>
      <c r="H43" s="198">
        <f t="shared" si="40"/>
        <v>20</v>
      </c>
      <c r="I43" s="114">
        <f t="shared" si="40"/>
        <v>0</v>
      </c>
      <c r="J43" s="198">
        <f t="shared" si="40"/>
        <v>0</v>
      </c>
      <c r="K43" s="114">
        <f t="shared" si="40"/>
        <v>0</v>
      </c>
      <c r="L43" s="198">
        <f t="shared" si="40"/>
        <v>0</v>
      </c>
      <c r="M43" s="114">
        <f t="shared" si="40"/>
        <v>0</v>
      </c>
      <c r="N43" s="198">
        <f t="shared" si="40"/>
        <v>0</v>
      </c>
      <c r="O43" s="114">
        <f t="shared" si="40"/>
        <v>2</v>
      </c>
      <c r="P43" s="114">
        <f t="shared" si="40"/>
        <v>30</v>
      </c>
      <c r="Q43" s="198">
        <f t="shared" si="40"/>
        <v>20</v>
      </c>
      <c r="R43" s="114">
        <f t="shared" si="40"/>
        <v>0</v>
      </c>
      <c r="S43" s="198">
        <f t="shared" si="40"/>
        <v>0</v>
      </c>
      <c r="T43" s="114">
        <f t="shared" si="40"/>
        <v>0</v>
      </c>
      <c r="U43" s="198">
        <f t="shared" si="40"/>
        <v>0</v>
      </c>
      <c r="V43" s="114">
        <f t="shared" si="40"/>
        <v>0</v>
      </c>
      <c r="W43" s="198">
        <f t="shared" si="40"/>
        <v>0</v>
      </c>
      <c r="X43" s="114">
        <f t="shared" si="40"/>
        <v>2</v>
      </c>
      <c r="Y43" s="114">
        <f t="shared" si="40"/>
        <v>60</v>
      </c>
      <c r="Z43" s="114">
        <f t="shared" ref="Z43:AC43" si="41">SUM(Z39:Z42)</f>
        <v>60</v>
      </c>
      <c r="AA43" s="114">
        <f t="shared" si="41"/>
        <v>0</v>
      </c>
      <c r="AB43" s="114">
        <f t="shared" si="41"/>
        <v>0</v>
      </c>
      <c r="AC43" s="114">
        <f t="shared" si="41"/>
        <v>0</v>
      </c>
      <c r="AD43" s="114">
        <f>SUM(AD39:AD42)</f>
        <v>100</v>
      </c>
      <c r="AE43" s="114">
        <f>SUM(AE39:AE42)</f>
        <v>4</v>
      </c>
    </row>
    <row r="44" spans="1:34" ht="27" customHeight="1" thickBot="1">
      <c r="A44" s="468" t="s">
        <v>21</v>
      </c>
      <c r="B44" s="469"/>
      <c r="C44" s="469"/>
      <c r="D44" s="469"/>
      <c r="E44" s="469"/>
      <c r="F44" s="470"/>
      <c r="G44" s="66">
        <f t="shared" ref="G44:AE44" si="42">SUM(G13,G19,G26,G29,G37,G43)</f>
        <v>190</v>
      </c>
      <c r="H44" s="193">
        <f t="shared" si="42"/>
        <v>110</v>
      </c>
      <c r="I44" s="66">
        <f t="shared" si="42"/>
        <v>187</v>
      </c>
      <c r="J44" s="193">
        <f t="shared" si="42"/>
        <v>160</v>
      </c>
      <c r="K44" s="66">
        <f t="shared" si="42"/>
        <v>65</v>
      </c>
      <c r="L44" s="193">
        <f t="shared" si="42"/>
        <v>0</v>
      </c>
      <c r="M44" s="66">
        <f t="shared" si="42"/>
        <v>20</v>
      </c>
      <c r="N44" s="193">
        <f t="shared" si="42"/>
        <v>30</v>
      </c>
      <c r="O44" s="66">
        <f t="shared" si="42"/>
        <v>29.5</v>
      </c>
      <c r="P44" s="66">
        <f t="shared" si="42"/>
        <v>150</v>
      </c>
      <c r="Q44" s="193">
        <f t="shared" si="42"/>
        <v>135</v>
      </c>
      <c r="R44" s="66">
        <f t="shared" si="42"/>
        <v>145</v>
      </c>
      <c r="S44" s="193">
        <f t="shared" si="42"/>
        <v>145</v>
      </c>
      <c r="T44" s="66">
        <f t="shared" si="42"/>
        <v>200</v>
      </c>
      <c r="U44" s="193">
        <f t="shared" si="42"/>
        <v>5</v>
      </c>
      <c r="V44" s="66">
        <f t="shared" si="42"/>
        <v>30</v>
      </c>
      <c r="W44" s="193">
        <f t="shared" si="42"/>
        <v>20</v>
      </c>
      <c r="X44" s="66">
        <f t="shared" si="42"/>
        <v>30.5</v>
      </c>
      <c r="Y44" s="66">
        <f t="shared" si="42"/>
        <v>987</v>
      </c>
      <c r="Z44" s="66">
        <f t="shared" si="42"/>
        <v>340</v>
      </c>
      <c r="AA44" s="66">
        <f t="shared" si="42"/>
        <v>332</v>
      </c>
      <c r="AB44" s="66">
        <f t="shared" si="42"/>
        <v>265</v>
      </c>
      <c r="AC44" s="66">
        <f t="shared" si="42"/>
        <v>50</v>
      </c>
      <c r="AD44" s="66">
        <f t="shared" si="42"/>
        <v>1592</v>
      </c>
      <c r="AE44" s="66">
        <f t="shared" si="42"/>
        <v>60</v>
      </c>
    </row>
    <row r="45" spans="1:34" ht="21" customHeight="1">
      <c r="A45" s="68"/>
      <c r="B45" s="69"/>
      <c r="C45" s="70"/>
      <c r="D45" s="71"/>
      <c r="E45" s="71"/>
      <c r="F45" s="71"/>
      <c r="G45" s="71"/>
      <c r="H45" s="71"/>
      <c r="I45" s="71"/>
      <c r="J45" s="71"/>
      <c r="K45" s="71"/>
      <c r="L45" s="71"/>
      <c r="M45" s="71"/>
      <c r="N45" s="71"/>
      <c r="O45" s="71"/>
      <c r="P45" s="71"/>
      <c r="Q45" s="71"/>
      <c r="R45" s="71"/>
      <c r="S45" s="71"/>
      <c r="T45" s="71"/>
      <c r="U45" s="71"/>
      <c r="V45" s="71"/>
      <c r="W45" s="71"/>
      <c r="Y45" s="486"/>
      <c r="Z45" s="486"/>
      <c r="AA45" s="486"/>
      <c r="AB45" s="486"/>
      <c r="AC45" s="486"/>
      <c r="AD45" s="486"/>
      <c r="AE45" s="72"/>
      <c r="AF45" s="72"/>
      <c r="AG45" s="72"/>
      <c r="AH45" s="72"/>
    </row>
    <row r="46" spans="1:34" ht="30" customHeight="1">
      <c r="A46" s="155" t="s">
        <v>119</v>
      </c>
      <c r="C46" s="70"/>
      <c r="D46" s="71"/>
      <c r="E46" s="71"/>
      <c r="F46" s="71"/>
      <c r="G46" s="71"/>
      <c r="H46" s="71"/>
      <c r="I46" s="71"/>
      <c r="J46" s="71"/>
      <c r="K46" s="71"/>
      <c r="L46" s="71"/>
      <c r="M46" s="71"/>
      <c r="N46" s="71"/>
      <c r="O46" s="71"/>
      <c r="P46" s="71"/>
      <c r="Q46" s="71"/>
      <c r="R46" s="71"/>
      <c r="S46" s="71"/>
      <c r="T46" s="71"/>
      <c r="U46" s="71"/>
      <c r="V46" s="71"/>
      <c r="W46" s="71"/>
      <c r="X46" s="72"/>
      <c r="Y46" s="486"/>
      <c r="Z46" s="486"/>
      <c r="AA46" s="486"/>
      <c r="AB46" s="486"/>
      <c r="AC46" s="486"/>
      <c r="AD46" s="486"/>
      <c r="AE46" s="72"/>
      <c r="AF46" s="72"/>
      <c r="AG46" s="72"/>
      <c r="AH46" s="72"/>
    </row>
    <row r="47" spans="1:34" ht="33.75" customHeight="1">
      <c r="A47" s="135">
        <v>1</v>
      </c>
      <c r="B47" s="136" t="s">
        <v>114</v>
      </c>
      <c r="C47" s="47" t="str">
        <f>"0912-7LEK-F-"&amp;A47&amp;"-"&amp;UPPER(LEFT(B47,1))&amp;"HKN"</f>
        <v>0912-7LEK-F-1-ZHKN</v>
      </c>
      <c r="D47" s="127"/>
      <c r="E47" s="129">
        <v>1</v>
      </c>
      <c r="F47" s="129"/>
      <c r="G47" s="140">
        <v>15</v>
      </c>
      <c r="H47" s="165">
        <v>10</v>
      </c>
      <c r="I47" s="140"/>
      <c r="J47" s="140"/>
      <c r="K47" s="140"/>
      <c r="L47" s="140"/>
      <c r="M47" s="140"/>
      <c r="N47" s="140"/>
      <c r="O47" s="140">
        <v>1</v>
      </c>
      <c r="P47" s="138"/>
      <c r="Q47" s="167"/>
      <c r="R47" s="138"/>
      <c r="S47" s="138"/>
      <c r="T47" s="138"/>
      <c r="U47" s="138"/>
      <c r="V47" s="138"/>
      <c r="W47" s="138"/>
      <c r="X47" s="138"/>
      <c r="Y47" s="50">
        <f>SUM(G47,I47,K47,M47,P47,R47,T47,V47)</f>
        <v>15</v>
      </c>
      <c r="Z47" s="50">
        <f>SUM(G47,P47)</f>
        <v>15</v>
      </c>
      <c r="AA47" s="50">
        <f>SUM(I47,R47)</f>
        <v>0</v>
      </c>
      <c r="AB47" s="50">
        <f>SUM(K47,T47)</f>
        <v>0</v>
      </c>
      <c r="AC47" s="50">
        <f>SUM(M47,V47)</f>
        <v>0</v>
      </c>
      <c r="AD47" s="50">
        <f>SUM(G47:N47,P47:W47)</f>
        <v>25</v>
      </c>
      <c r="AE47" s="50">
        <f>SUM(O47,X47)</f>
        <v>1</v>
      </c>
    </row>
    <row r="48" spans="1:34" ht="33.75" customHeight="1">
      <c r="A48" s="135">
        <v>2</v>
      </c>
      <c r="B48" s="136" t="s">
        <v>126</v>
      </c>
      <c r="C48" s="47" t="str">
        <f>"0912-7LEK-F-"&amp;A48&amp;"-"&amp;UPPER(LEFT(B48,1))&amp;"ST"</f>
        <v>0912-7LEK-F-2-NST</v>
      </c>
      <c r="D48" s="127"/>
      <c r="E48" s="129">
        <v>1</v>
      </c>
      <c r="F48" s="129"/>
      <c r="G48" s="140">
        <v>15</v>
      </c>
      <c r="H48" s="165">
        <v>10</v>
      </c>
      <c r="I48" s="140"/>
      <c r="J48" s="140"/>
      <c r="K48" s="140"/>
      <c r="L48" s="140"/>
      <c r="M48" s="140"/>
      <c r="N48" s="140"/>
      <c r="O48" s="140">
        <v>1</v>
      </c>
      <c r="P48" s="138"/>
      <c r="Q48" s="167"/>
      <c r="R48" s="138"/>
      <c r="S48" s="138"/>
      <c r="T48" s="138"/>
      <c r="U48" s="138"/>
      <c r="V48" s="138"/>
      <c r="W48" s="138"/>
      <c r="X48" s="138"/>
      <c r="Y48" s="50">
        <f t="shared" ref="Y48:Y52" si="43">SUM(G48,I48,K48,M48,P48,R48,T48,V48)</f>
        <v>15</v>
      </c>
      <c r="Z48" s="50">
        <f t="shared" ref="Z48:Z52" si="44">SUM(G48,P48)</f>
        <v>15</v>
      </c>
      <c r="AA48" s="50">
        <f t="shared" ref="AA48:AA52" si="45">SUM(I48,R48)</f>
        <v>0</v>
      </c>
      <c r="AB48" s="50">
        <f t="shared" ref="AB48:AB52" si="46">SUM(K48,T48)</f>
        <v>0</v>
      </c>
      <c r="AC48" s="50">
        <f t="shared" ref="AC48:AC52" si="47">SUM(M48,V48)</f>
        <v>0</v>
      </c>
      <c r="AD48" s="50">
        <f t="shared" ref="AD48:AD52" si="48">SUM(G48:N48,P48:W48)</f>
        <v>25</v>
      </c>
      <c r="AE48" s="50">
        <f t="shared" ref="AE48:AE52" si="49">SUM(O48,X48)</f>
        <v>1</v>
      </c>
    </row>
    <row r="49" spans="1:34" ht="33.75" customHeight="1">
      <c r="A49" s="135">
        <v>3</v>
      </c>
      <c r="B49" s="136" t="s">
        <v>115</v>
      </c>
      <c r="C49" s="47" t="str">
        <f>"0912-7LEK-F-"&amp;A49&amp;"-"&amp;UPPER(LEFT(B49,1))&amp;"SMŻ"</f>
        <v>0912-7LEK-F-3-ASMŻ</v>
      </c>
      <c r="D49" s="127"/>
      <c r="E49" s="129">
        <v>1</v>
      </c>
      <c r="F49" s="129"/>
      <c r="G49" s="140">
        <v>15</v>
      </c>
      <c r="H49" s="165">
        <v>10</v>
      </c>
      <c r="I49" s="140"/>
      <c r="J49" s="140"/>
      <c r="K49" s="140"/>
      <c r="L49" s="140"/>
      <c r="M49" s="140"/>
      <c r="N49" s="143"/>
      <c r="O49" s="140">
        <v>1</v>
      </c>
      <c r="P49" s="138"/>
      <c r="Q49" s="167"/>
      <c r="R49" s="138"/>
      <c r="S49" s="138"/>
      <c r="T49" s="138"/>
      <c r="U49" s="138"/>
      <c r="V49" s="138"/>
      <c r="W49" s="138"/>
      <c r="X49" s="138"/>
      <c r="Y49" s="50">
        <f t="shared" si="43"/>
        <v>15</v>
      </c>
      <c r="Z49" s="50">
        <f t="shared" si="44"/>
        <v>15</v>
      </c>
      <c r="AA49" s="50">
        <f t="shared" si="45"/>
        <v>0</v>
      </c>
      <c r="AB49" s="50">
        <f t="shared" si="46"/>
        <v>0</v>
      </c>
      <c r="AC49" s="50">
        <f t="shared" si="47"/>
        <v>0</v>
      </c>
      <c r="AD49" s="50">
        <f t="shared" si="48"/>
        <v>25</v>
      </c>
      <c r="AE49" s="50">
        <f t="shared" si="49"/>
        <v>1</v>
      </c>
    </row>
    <row r="50" spans="1:34" ht="33.75" customHeight="1">
      <c r="A50" s="135">
        <v>4</v>
      </c>
      <c r="B50" s="136" t="s">
        <v>120</v>
      </c>
      <c r="C50" s="47" t="str">
        <f>"0912-7LEK-F-"&amp;A50&amp;"-"&amp;UPPER(LEFT(B50,1))&amp;"C"</f>
        <v>0912-7LEK-F-4-SC</v>
      </c>
      <c r="D50" s="127"/>
      <c r="E50" s="129">
        <v>2</v>
      </c>
      <c r="F50" s="129"/>
      <c r="G50" s="140"/>
      <c r="H50" s="165"/>
      <c r="I50" s="140"/>
      <c r="J50" s="140"/>
      <c r="K50" s="140"/>
      <c r="L50" s="140"/>
      <c r="M50" s="140"/>
      <c r="N50" s="140"/>
      <c r="O50" s="140"/>
      <c r="P50" s="138">
        <v>15</v>
      </c>
      <c r="Q50" s="167">
        <v>10</v>
      </c>
      <c r="R50" s="138"/>
      <c r="S50" s="138"/>
      <c r="T50" s="138"/>
      <c r="U50" s="138"/>
      <c r="V50" s="138"/>
      <c r="W50" s="138"/>
      <c r="X50" s="138">
        <v>1</v>
      </c>
      <c r="Y50" s="50">
        <f t="shared" si="43"/>
        <v>15</v>
      </c>
      <c r="Z50" s="50">
        <f t="shared" si="44"/>
        <v>15</v>
      </c>
      <c r="AA50" s="50">
        <f t="shared" si="45"/>
        <v>0</v>
      </c>
      <c r="AB50" s="50">
        <f t="shared" si="46"/>
        <v>0</v>
      </c>
      <c r="AC50" s="50">
        <f t="shared" si="47"/>
        <v>0</v>
      </c>
      <c r="AD50" s="50">
        <f t="shared" si="48"/>
        <v>25</v>
      </c>
      <c r="AE50" s="50">
        <f t="shared" si="49"/>
        <v>1</v>
      </c>
    </row>
    <row r="51" spans="1:34" ht="33.75" customHeight="1">
      <c r="A51" s="135">
        <v>5</v>
      </c>
      <c r="B51" s="136" t="s">
        <v>180</v>
      </c>
      <c r="C51" s="47" t="str">
        <f>"0912-7LEK-F-"&amp;A51&amp;"-"&amp;UPPER(LEFT(B51,1))&amp;"SP"</f>
        <v>0912-7LEK-F-5-SSP</v>
      </c>
      <c r="D51" s="127"/>
      <c r="E51" s="129">
        <v>2</v>
      </c>
      <c r="F51" s="129"/>
      <c r="G51" s="140"/>
      <c r="H51" s="165"/>
      <c r="I51" s="140"/>
      <c r="J51" s="140"/>
      <c r="K51" s="140"/>
      <c r="L51" s="140"/>
      <c r="M51" s="140"/>
      <c r="N51" s="140"/>
      <c r="O51" s="140"/>
      <c r="P51" s="138">
        <v>15</v>
      </c>
      <c r="Q51" s="167">
        <v>10</v>
      </c>
      <c r="R51" s="138"/>
      <c r="S51" s="138"/>
      <c r="T51" s="138"/>
      <c r="U51" s="138"/>
      <c r="V51" s="138"/>
      <c r="W51" s="138"/>
      <c r="X51" s="138">
        <v>1</v>
      </c>
      <c r="Y51" s="50">
        <f t="shared" si="43"/>
        <v>15</v>
      </c>
      <c r="Z51" s="50">
        <f t="shared" si="44"/>
        <v>15</v>
      </c>
      <c r="AA51" s="50">
        <f t="shared" si="45"/>
        <v>0</v>
      </c>
      <c r="AB51" s="50">
        <f t="shared" si="46"/>
        <v>0</v>
      </c>
      <c r="AC51" s="50">
        <f t="shared" si="47"/>
        <v>0</v>
      </c>
      <c r="AD51" s="50">
        <f t="shared" si="48"/>
        <v>25</v>
      </c>
      <c r="AE51" s="50">
        <f t="shared" si="49"/>
        <v>1</v>
      </c>
    </row>
    <row r="52" spans="1:34" ht="33.75" customHeight="1">
      <c r="A52" s="135">
        <v>6</v>
      </c>
      <c r="B52" s="136" t="s">
        <v>116</v>
      </c>
      <c r="C52" s="47" t="str">
        <f>"0912-7LEK-F-"&amp;A52&amp;"-"&amp;UPPER(LEFT(B52,1))&amp;"T"</f>
        <v>0912-7LEK-F-6-NT</v>
      </c>
      <c r="D52" s="127"/>
      <c r="E52" s="129">
        <v>2</v>
      </c>
      <c r="F52" s="129"/>
      <c r="G52" s="140"/>
      <c r="H52" s="165"/>
      <c r="I52" s="140"/>
      <c r="J52" s="140"/>
      <c r="K52" s="140"/>
      <c r="L52" s="140"/>
      <c r="M52" s="140"/>
      <c r="N52" s="140"/>
      <c r="O52" s="140"/>
      <c r="P52" s="138">
        <v>15</v>
      </c>
      <c r="Q52" s="167">
        <v>10</v>
      </c>
      <c r="R52" s="138"/>
      <c r="S52" s="138"/>
      <c r="T52" s="138"/>
      <c r="U52" s="138"/>
      <c r="V52" s="138"/>
      <c r="W52" s="138"/>
      <c r="X52" s="138">
        <v>1</v>
      </c>
      <c r="Y52" s="50">
        <f t="shared" si="43"/>
        <v>15</v>
      </c>
      <c r="Z52" s="50">
        <f t="shared" si="44"/>
        <v>15</v>
      </c>
      <c r="AA52" s="50">
        <f t="shared" si="45"/>
        <v>0</v>
      </c>
      <c r="AB52" s="50">
        <f t="shared" si="46"/>
        <v>0</v>
      </c>
      <c r="AC52" s="50">
        <f t="shared" si="47"/>
        <v>0</v>
      </c>
      <c r="AD52" s="50">
        <f t="shared" si="48"/>
        <v>25</v>
      </c>
      <c r="AE52" s="50">
        <f t="shared" si="49"/>
        <v>1</v>
      </c>
    </row>
    <row r="53" spans="1:34" ht="20.25">
      <c r="A53" s="69"/>
      <c r="B53" s="69"/>
      <c r="C53" s="70"/>
      <c r="D53" s="71"/>
      <c r="E53" s="71"/>
      <c r="F53" s="71"/>
      <c r="G53" s="71"/>
      <c r="H53" s="71"/>
      <c r="I53" s="71"/>
      <c r="J53" s="71"/>
      <c r="K53" s="71"/>
      <c r="L53" s="71"/>
      <c r="M53" s="71"/>
      <c r="N53" s="71"/>
      <c r="O53" s="71"/>
      <c r="P53" s="71"/>
      <c r="Q53" s="71"/>
      <c r="R53" s="71"/>
      <c r="S53" s="71"/>
      <c r="T53" s="71"/>
      <c r="U53" s="71"/>
      <c r="V53" s="71"/>
      <c r="W53" s="71"/>
    </row>
    <row r="54" spans="1:34" ht="21" customHeight="1">
      <c r="A54" s="69"/>
      <c r="B54" s="69"/>
      <c r="C54" s="70"/>
      <c r="D54" s="71"/>
      <c r="E54" s="71"/>
      <c r="F54" s="71"/>
      <c r="G54" s="71"/>
      <c r="H54" s="71"/>
      <c r="I54" s="71"/>
      <c r="J54" s="71"/>
      <c r="K54" s="71"/>
      <c r="L54" s="71"/>
      <c r="M54" s="71"/>
      <c r="N54" s="71"/>
      <c r="O54" s="71"/>
      <c r="P54" s="71"/>
      <c r="Q54" s="71"/>
      <c r="R54" s="71"/>
      <c r="S54" s="71"/>
      <c r="T54" s="71"/>
      <c r="U54" s="71"/>
      <c r="V54" s="71" t="s">
        <v>127</v>
      </c>
      <c r="W54" s="71"/>
    </row>
    <row r="55" spans="1:34" ht="20.25">
      <c r="B55" s="74"/>
      <c r="C55" s="148"/>
      <c r="D55" s="71"/>
      <c r="E55" s="71"/>
      <c r="F55" s="71"/>
      <c r="G55" s="71"/>
      <c r="H55" s="71"/>
      <c r="I55" s="71"/>
      <c r="J55" s="71"/>
      <c r="K55" s="71"/>
      <c r="L55" s="71"/>
      <c r="M55" s="71"/>
      <c r="N55" s="71"/>
      <c r="O55" s="71"/>
      <c r="P55" s="71"/>
      <c r="Q55" s="71"/>
      <c r="R55" s="71"/>
      <c r="S55" s="71"/>
      <c r="T55" s="71"/>
      <c r="U55" s="71"/>
      <c r="V55" s="71"/>
      <c r="W55" s="71"/>
    </row>
    <row r="56" spans="1:34" ht="21" customHeight="1">
      <c r="A56" s="75"/>
      <c r="B56" s="76"/>
      <c r="C56" s="149"/>
      <c r="D56" s="77"/>
      <c r="E56" s="77"/>
      <c r="F56" s="77"/>
      <c r="G56" s="77"/>
      <c r="H56" s="77"/>
      <c r="I56" s="77"/>
      <c r="J56" s="77"/>
      <c r="K56" s="77"/>
      <c r="L56" s="77"/>
      <c r="M56" s="77"/>
      <c r="N56" s="77"/>
      <c r="O56" s="78"/>
      <c r="P56" s="78"/>
      <c r="Q56" s="78"/>
      <c r="R56" s="78"/>
      <c r="S56" s="78"/>
      <c r="T56" s="78"/>
      <c r="U56" s="79"/>
      <c r="V56" s="79"/>
      <c r="W56" s="79"/>
    </row>
    <row r="57" spans="1:34" ht="21" customHeight="1">
      <c r="A57" s="75"/>
      <c r="B57" s="76"/>
      <c r="C57" s="149"/>
      <c r="D57" s="77"/>
      <c r="E57" s="77"/>
      <c r="F57" s="77"/>
      <c r="G57" s="77"/>
      <c r="H57" s="77"/>
      <c r="I57" s="77"/>
      <c r="J57" s="77"/>
      <c r="K57" s="77"/>
      <c r="L57" s="77"/>
      <c r="M57" s="77"/>
      <c r="N57" s="77"/>
      <c r="O57" s="78"/>
      <c r="P57" s="78"/>
      <c r="Q57" s="78"/>
      <c r="R57" s="78"/>
      <c r="S57" s="78"/>
      <c r="T57" s="78"/>
      <c r="U57" s="79"/>
      <c r="V57" s="79"/>
      <c r="W57" s="79"/>
    </row>
    <row r="58" spans="1:34" ht="21" customHeight="1">
      <c r="A58" s="75"/>
      <c r="B58" s="467" t="s">
        <v>206</v>
      </c>
      <c r="C58" s="467"/>
      <c r="D58" s="467"/>
      <c r="E58" s="467"/>
      <c r="F58" s="467"/>
      <c r="G58" s="467"/>
      <c r="H58" s="467"/>
      <c r="I58" s="467"/>
      <c r="J58" s="467"/>
      <c r="K58" s="77"/>
      <c r="L58" s="77"/>
      <c r="M58" s="77"/>
      <c r="N58" s="77"/>
      <c r="O58" s="78"/>
      <c r="P58" s="78"/>
      <c r="Q58" s="78"/>
      <c r="R58" s="78"/>
      <c r="S58" s="78"/>
      <c r="T58" s="78"/>
      <c r="U58" s="79"/>
      <c r="V58" s="79"/>
      <c r="W58" s="79"/>
    </row>
    <row r="59" spans="1:34" ht="24.75" customHeight="1">
      <c r="A59" s="80"/>
      <c r="B59" s="81"/>
      <c r="C59" s="150"/>
      <c r="D59" s="77"/>
      <c r="E59" s="77"/>
      <c r="F59" s="77"/>
      <c r="G59" s="77"/>
      <c r="H59" s="77"/>
      <c r="I59" s="77"/>
      <c r="J59" s="77"/>
      <c r="K59" s="77"/>
      <c r="L59" s="77"/>
      <c r="M59" s="77"/>
      <c r="N59" s="77"/>
      <c r="O59" s="78"/>
      <c r="P59" s="78"/>
      <c r="Q59" s="78"/>
      <c r="R59" s="78"/>
      <c r="S59" s="78"/>
      <c r="T59" s="78"/>
      <c r="U59" s="79"/>
      <c r="V59" s="79"/>
      <c r="W59" s="79"/>
      <c r="Y59" s="82"/>
      <c r="Z59" s="82"/>
      <c r="AA59" s="82"/>
      <c r="AB59" s="82"/>
      <c r="AC59" s="82"/>
      <c r="AD59" s="82"/>
      <c r="AE59" s="82"/>
      <c r="AF59" s="82"/>
      <c r="AG59" s="82"/>
      <c r="AH59" s="82"/>
    </row>
    <row r="60" spans="1:34" ht="20.25">
      <c r="A60" s="83"/>
      <c r="B60" s="76"/>
      <c r="C60" s="149"/>
      <c r="D60" s="77"/>
      <c r="E60" s="77"/>
      <c r="F60" s="84"/>
      <c r="G60" s="84"/>
      <c r="H60" s="84"/>
      <c r="I60" s="84"/>
      <c r="J60" s="84"/>
      <c r="K60" s="84"/>
      <c r="L60" s="84"/>
      <c r="M60" s="84"/>
      <c r="N60" s="84"/>
      <c r="O60" s="85"/>
      <c r="P60" s="85"/>
      <c r="Q60" s="85"/>
      <c r="R60" s="85"/>
      <c r="S60" s="85"/>
      <c r="T60" s="85"/>
      <c r="U60" s="86"/>
      <c r="V60" s="86"/>
      <c r="W60" s="86"/>
    </row>
    <row r="61" spans="1:34" ht="20.25">
      <c r="A61" s="87"/>
      <c r="B61" s="76"/>
      <c r="C61" s="149"/>
      <c r="D61" s="77"/>
      <c r="E61" s="77"/>
      <c r="F61" s="77"/>
      <c r="G61" s="77"/>
      <c r="H61" s="77"/>
      <c r="I61" s="77"/>
      <c r="J61" s="77"/>
      <c r="K61" s="77"/>
      <c r="L61" s="77"/>
      <c r="M61" s="77"/>
      <c r="N61" s="77"/>
      <c r="O61" s="78"/>
      <c r="P61" s="78"/>
      <c r="Q61" s="78"/>
      <c r="R61" s="78"/>
      <c r="S61" s="78"/>
      <c r="T61" s="78"/>
      <c r="U61" s="79"/>
      <c r="V61" s="79"/>
      <c r="W61" s="79"/>
      <c r="X61" s="88"/>
    </row>
    <row r="62" spans="1:34" s="82" customFormat="1" ht="20.25">
      <c r="A62" s="87"/>
      <c r="B62" s="76"/>
      <c r="C62" s="149"/>
      <c r="D62" s="77"/>
      <c r="E62" s="77"/>
      <c r="F62" s="77"/>
      <c r="G62" s="77"/>
      <c r="H62" s="77"/>
      <c r="I62" s="77"/>
      <c r="J62" s="77"/>
      <c r="K62" s="77"/>
      <c r="L62" s="77"/>
      <c r="M62" s="77"/>
      <c r="N62" s="77"/>
      <c r="O62" s="78"/>
      <c r="P62" s="78"/>
      <c r="Q62" s="78"/>
      <c r="R62" s="78"/>
      <c r="S62" s="78"/>
      <c r="T62" s="78"/>
      <c r="U62" s="79"/>
      <c r="V62" s="79"/>
      <c r="W62" s="79"/>
      <c r="X62" s="88"/>
      <c r="Y62" s="41"/>
      <c r="Z62" s="41"/>
      <c r="AA62" s="41"/>
      <c r="AB62" s="41"/>
      <c r="AC62" s="41"/>
      <c r="AD62" s="41"/>
      <c r="AE62" s="41"/>
      <c r="AF62" s="41"/>
      <c r="AG62" s="41"/>
      <c r="AH62" s="41"/>
    </row>
    <row r="63" spans="1:34" ht="20.25">
      <c r="A63" s="87"/>
      <c r="B63" s="76"/>
      <c r="C63" s="149"/>
      <c r="D63" s="84"/>
      <c r="E63" s="84"/>
      <c r="F63" s="77"/>
      <c r="G63" s="77"/>
      <c r="H63" s="77"/>
      <c r="I63" s="77"/>
      <c r="J63" s="77"/>
      <c r="K63" s="77"/>
      <c r="L63" s="77"/>
      <c r="M63" s="77"/>
      <c r="N63" s="77"/>
      <c r="O63" s="78"/>
      <c r="P63" s="78"/>
      <c r="Q63" s="78"/>
      <c r="R63" s="78"/>
      <c r="S63" s="78"/>
      <c r="T63" s="78"/>
      <c r="U63" s="79"/>
      <c r="V63" s="79"/>
      <c r="W63" s="79"/>
      <c r="X63" s="88"/>
    </row>
    <row r="64" spans="1:34" ht="20.25">
      <c r="A64" s="87"/>
      <c r="B64" s="76"/>
      <c r="C64" s="149"/>
      <c r="D64" s="77"/>
      <c r="E64" s="77"/>
      <c r="F64" s="77"/>
      <c r="G64" s="77"/>
      <c r="H64" s="77"/>
      <c r="I64" s="77"/>
      <c r="J64" s="77"/>
      <c r="K64" s="77"/>
      <c r="L64" s="77"/>
      <c r="M64" s="77"/>
      <c r="N64" s="77"/>
      <c r="O64" s="78"/>
      <c r="P64" s="78"/>
      <c r="Q64" s="78"/>
      <c r="R64" s="78"/>
      <c r="S64" s="78"/>
      <c r="T64" s="78"/>
      <c r="U64" s="79"/>
      <c r="V64" s="79"/>
      <c r="W64" s="79"/>
      <c r="X64" s="88"/>
    </row>
    <row r="65" spans="1:34" ht="20.25">
      <c r="B65" s="89"/>
      <c r="C65" s="151"/>
      <c r="D65" s="78"/>
      <c r="E65" s="78"/>
      <c r="F65" s="78"/>
      <c r="G65" s="78"/>
      <c r="H65" s="78"/>
      <c r="I65" s="78"/>
      <c r="J65" s="78"/>
      <c r="K65" s="78"/>
      <c r="L65" s="78"/>
      <c r="M65" s="78"/>
      <c r="N65" s="78"/>
      <c r="O65" s="78"/>
      <c r="P65" s="78"/>
      <c r="Q65" s="78"/>
      <c r="R65" s="78"/>
      <c r="S65" s="78"/>
      <c r="T65" s="78"/>
      <c r="U65" s="79"/>
      <c r="V65" s="79"/>
      <c r="W65" s="79"/>
      <c r="X65" s="88"/>
    </row>
    <row r="66" spans="1:34" ht="20.25">
      <c r="A66" s="90"/>
      <c r="B66" s="74"/>
      <c r="C66" s="148"/>
      <c r="D66" s="79"/>
      <c r="E66" s="79"/>
      <c r="F66" s="79"/>
      <c r="G66" s="79"/>
      <c r="H66" s="79"/>
      <c r="I66" s="79"/>
      <c r="J66" s="79"/>
      <c r="K66" s="79"/>
      <c r="L66" s="79"/>
      <c r="M66" s="79"/>
      <c r="N66" s="79"/>
      <c r="O66" s="79"/>
      <c r="P66" s="79"/>
      <c r="Q66" s="79"/>
      <c r="R66" s="79"/>
      <c r="S66" s="79"/>
      <c r="T66" s="79"/>
      <c r="U66" s="79"/>
      <c r="V66" s="79"/>
      <c r="W66" s="79"/>
      <c r="X66" s="88"/>
    </row>
    <row r="67" spans="1:34" ht="21" customHeight="1">
      <c r="A67" s="91"/>
      <c r="B67" s="168"/>
      <c r="C67" s="168"/>
      <c r="D67" s="168"/>
      <c r="E67" s="168"/>
      <c r="F67" s="168"/>
      <c r="G67" s="168"/>
      <c r="H67" s="168"/>
      <c r="I67" s="168"/>
      <c r="J67" s="168"/>
      <c r="K67" s="168"/>
      <c r="L67" s="168"/>
      <c r="M67" s="168"/>
      <c r="N67" s="168"/>
      <c r="O67" s="168"/>
      <c r="P67" s="168"/>
      <c r="Q67" s="168"/>
      <c r="R67" s="168"/>
      <c r="S67" s="168"/>
      <c r="T67" s="168"/>
      <c r="U67" s="168"/>
      <c r="V67" s="168"/>
      <c r="W67" s="168"/>
      <c r="X67" s="168"/>
    </row>
    <row r="68" spans="1:34" ht="15" customHeight="1">
      <c r="A68" s="92"/>
      <c r="B68" s="168"/>
      <c r="C68" s="168"/>
      <c r="D68" s="168"/>
      <c r="E68" s="168"/>
      <c r="F68" s="168"/>
      <c r="G68" s="168"/>
      <c r="H68" s="168"/>
      <c r="I68" s="168"/>
      <c r="J68" s="168"/>
      <c r="K68" s="168"/>
      <c r="L68" s="168"/>
      <c r="M68" s="168"/>
      <c r="N68" s="168"/>
      <c r="O68" s="168"/>
      <c r="P68" s="168"/>
      <c r="Q68" s="168"/>
      <c r="R68" s="168"/>
      <c r="S68" s="168"/>
      <c r="T68" s="168"/>
      <c r="U68" s="168"/>
      <c r="V68" s="168"/>
      <c r="W68" s="168"/>
      <c r="X68" s="168"/>
    </row>
    <row r="69" spans="1:34" s="82" customFormat="1" ht="20.25">
      <c r="A69" s="92"/>
      <c r="B69" s="93"/>
      <c r="C69" s="148"/>
      <c r="D69" s="79"/>
      <c r="E69" s="79"/>
      <c r="F69" s="79"/>
      <c r="G69" s="79"/>
      <c r="H69" s="88"/>
      <c r="I69" s="79"/>
      <c r="J69" s="79"/>
      <c r="K69" s="79"/>
      <c r="L69" s="79"/>
      <c r="M69" s="79"/>
      <c r="N69" s="79"/>
      <c r="O69" s="79"/>
      <c r="P69" s="79"/>
      <c r="Q69" s="79"/>
      <c r="R69" s="79"/>
      <c r="S69" s="79"/>
      <c r="T69" s="79"/>
      <c r="U69" s="79"/>
      <c r="V69" s="79"/>
      <c r="W69" s="79"/>
      <c r="X69" s="79"/>
      <c r="Y69" s="41"/>
      <c r="Z69" s="41"/>
      <c r="AA69" s="41"/>
      <c r="AB69" s="41"/>
      <c r="AC69" s="41"/>
      <c r="AD69" s="41"/>
      <c r="AE69" s="41"/>
      <c r="AF69" s="41"/>
      <c r="AG69" s="41"/>
      <c r="AH69" s="41"/>
    </row>
    <row r="70" spans="1:34" ht="20.25">
      <c r="A70" s="92"/>
      <c r="X70" s="79"/>
    </row>
    <row r="71" spans="1:34">
      <c r="A71" s="92"/>
    </row>
    <row r="72" spans="1:34">
      <c r="A72" s="92"/>
    </row>
    <row r="73" spans="1:34">
      <c r="A73" s="91"/>
    </row>
    <row r="74" spans="1:34">
      <c r="A74" s="90"/>
    </row>
    <row r="75" spans="1:34">
      <c r="A75" s="90"/>
    </row>
    <row r="76" spans="1:34">
      <c r="A76" s="95"/>
    </row>
    <row r="77" spans="1:34">
      <c r="A77" s="95"/>
    </row>
    <row r="78" spans="1:34">
      <c r="A78" s="95"/>
    </row>
    <row r="79" spans="1:34">
      <c r="A79" s="95"/>
    </row>
    <row r="80" spans="1:34">
      <c r="A80" s="95"/>
    </row>
    <row r="81" spans="1:8">
      <c r="A81" s="95"/>
    </row>
    <row r="82" spans="1:8">
      <c r="A82" s="95"/>
    </row>
    <row r="83" spans="1:8">
      <c r="A83" s="95"/>
    </row>
    <row r="84" spans="1:8">
      <c r="A84" s="95"/>
    </row>
    <row r="85" spans="1:8">
      <c r="A85" s="95"/>
    </row>
    <row r="86" spans="1:8">
      <c r="A86" s="95"/>
    </row>
    <row r="87" spans="1:8">
      <c r="A87" s="95"/>
    </row>
    <row r="88" spans="1:8">
      <c r="A88" s="96"/>
      <c r="B88" s="97"/>
    </row>
    <row r="89" spans="1:8">
      <c r="A89" s="96"/>
    </row>
    <row r="90" spans="1:8">
      <c r="A90" s="98"/>
      <c r="B90" s="97"/>
      <c r="H90" s="99"/>
    </row>
    <row r="91" spans="1:8">
      <c r="A91" s="98"/>
      <c r="B91" s="97"/>
    </row>
    <row r="92" spans="1:8">
      <c r="A92" s="98"/>
      <c r="B92" s="97"/>
    </row>
    <row r="93" spans="1:8">
      <c r="A93" s="98"/>
      <c r="B93" s="97"/>
    </row>
    <row r="94" spans="1:8">
      <c r="A94" s="98"/>
      <c r="B94" s="97"/>
    </row>
    <row r="95" spans="1:8">
      <c r="A95" s="98"/>
      <c r="B95" s="97"/>
    </row>
    <row r="96" spans="1:8">
      <c r="A96" s="98"/>
      <c r="B96" s="97"/>
    </row>
    <row r="97" spans="1:2">
      <c r="A97" s="98"/>
      <c r="B97" s="97"/>
    </row>
    <row r="98" spans="1:2">
      <c r="A98" s="98"/>
      <c r="B98" s="97"/>
    </row>
    <row r="99" spans="1:2">
      <c r="A99" s="98"/>
      <c r="B99" s="97"/>
    </row>
    <row r="100" spans="1:2">
      <c r="A100" s="98"/>
      <c r="B100" s="97"/>
    </row>
    <row r="101" spans="1:2">
      <c r="A101" s="98"/>
      <c r="B101" s="97"/>
    </row>
    <row r="102" spans="1:2">
      <c r="A102" s="98"/>
      <c r="B102" s="97"/>
    </row>
    <row r="103" spans="1:2">
      <c r="A103" s="98"/>
      <c r="B103" s="97"/>
    </row>
    <row r="104" spans="1:2">
      <c r="A104" s="98"/>
      <c r="B104" s="97"/>
    </row>
    <row r="105" spans="1:2">
      <c r="A105" s="98"/>
      <c r="B105" s="97"/>
    </row>
    <row r="106" spans="1:2">
      <c r="A106" s="98"/>
      <c r="B106" s="97"/>
    </row>
    <row r="107" spans="1:2">
      <c r="A107" s="98"/>
      <c r="B107" s="97"/>
    </row>
    <row r="108" spans="1:2">
      <c r="A108" s="98"/>
      <c r="B108" s="97"/>
    </row>
    <row r="109" spans="1:2">
      <c r="A109" s="98"/>
      <c r="B109" s="97"/>
    </row>
    <row r="110" spans="1:2">
      <c r="A110" s="98"/>
      <c r="B110" s="97"/>
    </row>
    <row r="111" spans="1:2">
      <c r="A111" s="98"/>
      <c r="B111" s="97"/>
    </row>
    <row r="112" spans="1:2">
      <c r="A112" s="98"/>
      <c r="B112" s="97"/>
    </row>
    <row r="113" spans="1:2">
      <c r="A113" s="98"/>
      <c r="B113" s="97"/>
    </row>
    <row r="114" spans="1:2">
      <c r="A114" s="98"/>
      <c r="B114" s="97"/>
    </row>
    <row r="115" spans="1:2">
      <c r="A115" s="98"/>
      <c r="B115" s="97"/>
    </row>
    <row r="116" spans="1:2">
      <c r="A116" s="98"/>
      <c r="B116" s="97"/>
    </row>
    <row r="117" spans="1:2">
      <c r="A117" s="98"/>
      <c r="B117" s="97"/>
    </row>
    <row r="118" spans="1:2">
      <c r="A118" s="98"/>
      <c r="B118" s="97"/>
    </row>
    <row r="119" spans="1:2">
      <c r="A119" s="98"/>
      <c r="B119" s="97"/>
    </row>
    <row r="120" spans="1:2">
      <c r="A120" s="98"/>
      <c r="B120" s="97"/>
    </row>
    <row r="121" spans="1:2">
      <c r="A121" s="98"/>
      <c r="B121" s="97"/>
    </row>
    <row r="122" spans="1:2">
      <c r="A122" s="98"/>
      <c r="B122" s="97"/>
    </row>
    <row r="123" spans="1:2">
      <c r="A123" s="98"/>
      <c r="B123" s="97"/>
    </row>
    <row r="124" spans="1:2">
      <c r="A124" s="98"/>
      <c r="B124" s="97"/>
    </row>
    <row r="125" spans="1:2">
      <c r="A125" s="98"/>
      <c r="B125" s="97"/>
    </row>
    <row r="126" spans="1:2">
      <c r="A126" s="98"/>
      <c r="B126" s="97"/>
    </row>
    <row r="127" spans="1:2">
      <c r="A127" s="98"/>
      <c r="B127" s="97"/>
    </row>
    <row r="128" spans="1:2">
      <c r="A128" s="98"/>
      <c r="B128" s="97"/>
    </row>
    <row r="129" spans="1:2">
      <c r="A129" s="98"/>
      <c r="B129" s="97"/>
    </row>
    <row r="130" spans="1:2">
      <c r="A130" s="98"/>
      <c r="B130" s="97"/>
    </row>
    <row r="131" spans="1:2">
      <c r="A131" s="98"/>
      <c r="B131" s="97"/>
    </row>
    <row r="132" spans="1:2">
      <c r="A132" s="98"/>
      <c r="B132" s="97"/>
    </row>
    <row r="133" spans="1:2">
      <c r="A133" s="98"/>
      <c r="B133" s="97"/>
    </row>
    <row r="134" spans="1:2">
      <c r="A134" s="98"/>
      <c r="B134" s="97"/>
    </row>
    <row r="135" spans="1:2">
      <c r="A135" s="98"/>
      <c r="B135" s="97"/>
    </row>
    <row r="136" spans="1:2">
      <c r="A136" s="98"/>
      <c r="B136" s="97"/>
    </row>
  </sheetData>
  <mergeCells count="46">
    <mergeCell ref="A1:AE1"/>
    <mergeCell ref="A5:F5"/>
    <mergeCell ref="G5:AE5"/>
    <mergeCell ref="P7:X7"/>
    <mergeCell ref="AE6:AE9"/>
    <mergeCell ref="I8:J8"/>
    <mergeCell ref="O8:O9"/>
    <mergeCell ref="M8:N8"/>
    <mergeCell ref="AC6:AC9"/>
    <mergeCell ref="AB6:AB9"/>
    <mergeCell ref="AA6:AA9"/>
    <mergeCell ref="Z6:Z9"/>
    <mergeCell ref="A2:B2"/>
    <mergeCell ref="A3:B3"/>
    <mergeCell ref="H2:P2"/>
    <mergeCell ref="E8:E9"/>
    <mergeCell ref="Y45:AD46"/>
    <mergeCell ref="AD6:AD9"/>
    <mergeCell ref="Y6:Y9"/>
    <mergeCell ref="R8:S8"/>
    <mergeCell ref="X8:X9"/>
    <mergeCell ref="V8:W8"/>
    <mergeCell ref="T8:U8"/>
    <mergeCell ref="G6:X6"/>
    <mergeCell ref="P8:Q8"/>
    <mergeCell ref="G7:O7"/>
    <mergeCell ref="G8:H8"/>
    <mergeCell ref="K8:L8"/>
    <mergeCell ref="F8:F9"/>
    <mergeCell ref="D6:F7"/>
    <mergeCell ref="B6:B9"/>
    <mergeCell ref="A19:F19"/>
    <mergeCell ref="A13:F13"/>
    <mergeCell ref="C6:C9"/>
    <mergeCell ref="D8:D9"/>
    <mergeCell ref="A6:A9"/>
    <mergeCell ref="B58:J58"/>
    <mergeCell ref="A44:F44"/>
    <mergeCell ref="A43:F43"/>
    <mergeCell ref="A37:F37"/>
    <mergeCell ref="A26:F26"/>
    <mergeCell ref="A29:F29"/>
    <mergeCell ref="B42:C42"/>
    <mergeCell ref="B41:C41"/>
    <mergeCell ref="B40:C40"/>
    <mergeCell ref="B39:C39"/>
  </mergeCells>
  <pageMargins left="0.23622047244094491" right="0.23622047244094491" top="0" bottom="0" header="0" footer="0"/>
  <pageSetup paperSize="9" scale="49" fitToHeight="0" orientation="landscape" r:id="rId1"/>
  <rowBreaks count="1" manualBreakCount="1">
    <brk id="44" max="30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70"/>
  <sheetViews>
    <sheetView zoomScale="90" zoomScaleNormal="90" zoomScaleSheetLayoutView="80" workbookViewId="0">
      <pane ySplit="9" topLeftCell="A46" activePane="bottomLeft" state="frozen"/>
      <selection pane="bottomLeft" activeCell="S22" sqref="S22"/>
    </sheetView>
  </sheetViews>
  <sheetFormatPr defaultRowHeight="15"/>
  <cols>
    <col min="1" max="1" width="6" style="174" customWidth="1"/>
    <col min="2" max="2" width="47.85546875" customWidth="1"/>
    <col min="3" max="3" width="22.5703125" customWidth="1"/>
    <col min="4" max="4" width="6.5703125" customWidth="1"/>
    <col min="5" max="5" width="7.85546875" customWidth="1"/>
    <col min="6" max="7" width="6.5703125" customWidth="1"/>
    <col min="8" max="24" width="6.140625" customWidth="1"/>
    <col min="25" max="25" width="8.28515625" customWidth="1"/>
    <col min="26" max="29" width="6.7109375" customWidth="1"/>
    <col min="30" max="30" width="9.85546875" customWidth="1"/>
    <col min="31" max="31" width="9.140625" customWidth="1"/>
  </cols>
  <sheetData>
    <row r="1" spans="1:31" s="41" customFormat="1" ht="42.75" customHeight="1">
      <c r="A1" s="498" t="s">
        <v>265</v>
      </c>
      <c r="B1" s="499"/>
      <c r="C1" s="499"/>
      <c r="D1" s="499"/>
      <c r="E1" s="499"/>
      <c r="F1" s="499"/>
      <c r="G1" s="499"/>
      <c r="H1" s="499"/>
      <c r="I1" s="499"/>
      <c r="J1" s="499"/>
      <c r="K1" s="499"/>
      <c r="L1" s="499"/>
      <c r="M1" s="499"/>
      <c r="N1" s="499"/>
      <c r="O1" s="499"/>
      <c r="P1" s="499"/>
      <c r="Q1" s="499"/>
      <c r="R1" s="499"/>
      <c r="S1" s="499"/>
      <c r="T1" s="499"/>
      <c r="U1" s="499"/>
      <c r="V1" s="499"/>
      <c r="W1" s="499"/>
      <c r="X1" s="499"/>
      <c r="Y1" s="499"/>
      <c r="Z1" s="499"/>
      <c r="AA1" s="499"/>
      <c r="AB1" s="499"/>
      <c r="AC1" s="499"/>
      <c r="AD1" s="499"/>
      <c r="AE1" s="499"/>
    </row>
    <row r="2" spans="1:31" s="41" customFormat="1" ht="42.75" customHeight="1">
      <c r="A2" s="509" t="s">
        <v>112</v>
      </c>
      <c r="B2" s="509"/>
      <c r="C2" s="144" t="s">
        <v>113</v>
      </c>
      <c r="E2" s="132"/>
      <c r="F2" s="132"/>
      <c r="G2" s="132"/>
      <c r="H2" s="511" t="s">
        <v>122</v>
      </c>
      <c r="I2" s="511"/>
      <c r="J2" s="511"/>
      <c r="K2" s="511"/>
      <c r="L2" s="511"/>
      <c r="M2" s="511"/>
      <c r="N2" s="511"/>
      <c r="O2" s="511"/>
      <c r="P2" s="511"/>
      <c r="Q2" s="131"/>
      <c r="R2" s="131"/>
      <c r="S2" s="131"/>
      <c r="T2" s="131"/>
      <c r="U2" s="131"/>
      <c r="V2" s="131"/>
      <c r="W2" s="131"/>
      <c r="X2" s="131"/>
      <c r="Y2" s="131"/>
      <c r="Z2" s="131"/>
      <c r="AA2" s="131"/>
      <c r="AB2" s="131"/>
      <c r="AC2" s="131"/>
      <c r="AD2" s="131"/>
      <c r="AE2" s="131"/>
    </row>
    <row r="3" spans="1:31" s="41" customFormat="1" ht="34.5" customHeight="1">
      <c r="A3" s="510" t="s">
        <v>111</v>
      </c>
      <c r="B3" s="510"/>
      <c r="C3" s="145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  <c r="Q3" s="131"/>
      <c r="R3" s="131"/>
      <c r="S3" s="131"/>
      <c r="T3" s="131"/>
      <c r="U3" s="131"/>
      <c r="V3" s="131"/>
      <c r="W3" s="131"/>
      <c r="X3" s="131"/>
      <c r="Y3" s="131"/>
      <c r="Z3" s="131"/>
      <c r="AA3" s="131"/>
      <c r="AB3" s="131"/>
      <c r="AC3" s="131"/>
      <c r="AD3" s="131"/>
      <c r="AE3" s="131"/>
    </row>
    <row r="4" spans="1:31" s="41" customFormat="1" ht="9" customHeight="1">
      <c r="A4" s="175"/>
      <c r="C4" s="146"/>
      <c r="D4" s="133"/>
      <c r="E4" s="134"/>
      <c r="F4" s="133"/>
      <c r="G4" s="134"/>
      <c r="H4" s="133"/>
      <c r="I4" s="134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  <c r="V4" s="106"/>
      <c r="W4" s="106"/>
      <c r="X4" s="106"/>
      <c r="Y4" s="106"/>
      <c r="Z4" s="106"/>
      <c r="AA4" s="106"/>
      <c r="AB4" s="106"/>
      <c r="AC4" s="106"/>
      <c r="AD4" s="106"/>
      <c r="AE4" s="106"/>
    </row>
    <row r="5" spans="1:31" ht="20.25" customHeight="1">
      <c r="A5" s="531"/>
      <c r="B5" s="532"/>
      <c r="C5" s="532"/>
      <c r="D5" s="532"/>
      <c r="E5" s="532"/>
      <c r="F5" s="533"/>
      <c r="G5" s="534" t="s">
        <v>103</v>
      </c>
      <c r="H5" s="534"/>
      <c r="I5" s="534"/>
      <c r="J5" s="534"/>
      <c r="K5" s="534"/>
      <c r="L5" s="534"/>
      <c r="M5" s="534"/>
      <c r="N5" s="534"/>
      <c r="O5" s="534"/>
      <c r="P5" s="534"/>
      <c r="Q5" s="534"/>
      <c r="R5" s="534"/>
      <c r="S5" s="534"/>
      <c r="T5" s="534"/>
      <c r="U5" s="534"/>
      <c r="V5" s="534"/>
      <c r="W5" s="534"/>
      <c r="X5" s="534"/>
      <c r="Y5" s="534"/>
      <c r="Z5" s="534"/>
      <c r="AA5" s="534"/>
      <c r="AB5" s="534"/>
      <c r="AC5" s="534"/>
      <c r="AD5" s="534"/>
      <c r="AE5" s="535"/>
    </row>
    <row r="6" spans="1:31" ht="15" customHeight="1">
      <c r="A6" s="536" t="s">
        <v>0</v>
      </c>
      <c r="B6" s="481" t="s">
        <v>4</v>
      </c>
      <c r="C6" s="481" t="s">
        <v>1</v>
      </c>
      <c r="D6" s="538" t="s">
        <v>8</v>
      </c>
      <c r="E6" s="538"/>
      <c r="F6" s="538"/>
      <c r="G6" s="111"/>
      <c r="H6" s="111"/>
      <c r="I6" s="111"/>
      <c r="J6" s="111"/>
      <c r="K6" s="111"/>
      <c r="L6" s="111"/>
      <c r="M6" s="111"/>
      <c r="N6" s="111"/>
      <c r="O6" s="111" t="s">
        <v>121</v>
      </c>
      <c r="P6" s="111"/>
      <c r="Q6" s="111"/>
      <c r="R6" s="111"/>
      <c r="S6" s="111"/>
      <c r="T6" s="111"/>
      <c r="U6" s="111"/>
      <c r="V6" s="111"/>
      <c r="W6" s="111"/>
      <c r="X6" s="111"/>
      <c r="Y6" s="487" t="s">
        <v>5</v>
      </c>
      <c r="Z6" s="487" t="s">
        <v>89</v>
      </c>
      <c r="AA6" s="487" t="s">
        <v>88</v>
      </c>
      <c r="AB6" s="487" t="s">
        <v>94</v>
      </c>
      <c r="AC6" s="487" t="s">
        <v>90</v>
      </c>
      <c r="AD6" s="487" t="s">
        <v>14</v>
      </c>
      <c r="AE6" s="487" t="s">
        <v>6</v>
      </c>
    </row>
    <row r="7" spans="1:31" ht="15" customHeight="1">
      <c r="A7" s="536"/>
      <c r="B7" s="481"/>
      <c r="C7" s="481"/>
      <c r="D7" s="538"/>
      <c r="E7" s="538"/>
      <c r="F7" s="538"/>
      <c r="G7" s="495" t="s">
        <v>95</v>
      </c>
      <c r="H7" s="496"/>
      <c r="I7" s="496"/>
      <c r="J7" s="496"/>
      <c r="K7" s="496"/>
      <c r="L7" s="496"/>
      <c r="M7" s="496"/>
      <c r="N7" s="496"/>
      <c r="O7" s="497"/>
      <c r="P7" s="490" t="s">
        <v>96</v>
      </c>
      <c r="Q7" s="506"/>
      <c r="R7" s="506"/>
      <c r="S7" s="506"/>
      <c r="T7" s="506"/>
      <c r="U7" s="506"/>
      <c r="V7" s="506"/>
      <c r="W7" s="506"/>
      <c r="X7" s="491"/>
      <c r="Y7" s="488"/>
      <c r="Z7" s="488"/>
      <c r="AA7" s="488"/>
      <c r="AB7" s="488"/>
      <c r="AC7" s="488"/>
      <c r="AD7" s="488"/>
      <c r="AE7" s="488"/>
    </row>
    <row r="8" spans="1:31" ht="21.75" customHeight="1">
      <c r="A8" s="537"/>
      <c r="B8" s="479"/>
      <c r="C8" s="479"/>
      <c r="D8" s="479" t="s">
        <v>2</v>
      </c>
      <c r="E8" s="479" t="s">
        <v>13</v>
      </c>
      <c r="F8" s="479" t="s">
        <v>12</v>
      </c>
      <c r="G8" s="495" t="s">
        <v>89</v>
      </c>
      <c r="H8" s="497"/>
      <c r="I8" s="495" t="s">
        <v>88</v>
      </c>
      <c r="J8" s="497"/>
      <c r="K8" s="495" t="s">
        <v>94</v>
      </c>
      <c r="L8" s="497"/>
      <c r="M8" s="495" t="s">
        <v>90</v>
      </c>
      <c r="N8" s="497"/>
      <c r="O8" s="507" t="s">
        <v>7</v>
      </c>
      <c r="P8" s="490" t="s">
        <v>89</v>
      </c>
      <c r="Q8" s="491"/>
      <c r="R8" s="490" t="s">
        <v>88</v>
      </c>
      <c r="S8" s="491"/>
      <c r="T8" s="490" t="s">
        <v>94</v>
      </c>
      <c r="U8" s="491"/>
      <c r="V8" s="490" t="s">
        <v>90</v>
      </c>
      <c r="W8" s="491"/>
      <c r="X8" s="492" t="s">
        <v>7</v>
      </c>
      <c r="Y8" s="488"/>
      <c r="Z8" s="488"/>
      <c r="AA8" s="488"/>
      <c r="AB8" s="488"/>
      <c r="AC8" s="488"/>
      <c r="AD8" s="488"/>
      <c r="AE8" s="488"/>
    </row>
    <row r="9" spans="1:31" ht="45" customHeight="1">
      <c r="A9" s="536"/>
      <c r="B9" s="481"/>
      <c r="C9" s="481"/>
      <c r="D9" s="539"/>
      <c r="E9" s="539"/>
      <c r="F9" s="539"/>
      <c r="G9" s="156" t="s">
        <v>15</v>
      </c>
      <c r="H9" s="156" t="s">
        <v>16</v>
      </c>
      <c r="I9" s="156" t="s">
        <v>15</v>
      </c>
      <c r="J9" s="156" t="s">
        <v>16</v>
      </c>
      <c r="K9" s="156" t="s">
        <v>15</v>
      </c>
      <c r="L9" s="156" t="s">
        <v>16</v>
      </c>
      <c r="M9" s="156" t="s">
        <v>15</v>
      </c>
      <c r="N9" s="156" t="s">
        <v>16</v>
      </c>
      <c r="O9" s="517"/>
      <c r="P9" s="161" t="s">
        <v>15</v>
      </c>
      <c r="Q9" s="161" t="s">
        <v>16</v>
      </c>
      <c r="R9" s="161" t="s">
        <v>15</v>
      </c>
      <c r="S9" s="161" t="s">
        <v>16</v>
      </c>
      <c r="T9" s="161" t="s">
        <v>15</v>
      </c>
      <c r="U9" s="161" t="s">
        <v>16</v>
      </c>
      <c r="V9" s="161" t="s">
        <v>15</v>
      </c>
      <c r="W9" s="161" t="s">
        <v>16</v>
      </c>
      <c r="X9" s="528"/>
      <c r="Y9" s="518"/>
      <c r="Z9" s="518"/>
      <c r="AA9" s="518"/>
      <c r="AB9" s="518"/>
      <c r="AC9" s="518"/>
      <c r="AD9" s="518"/>
      <c r="AE9" s="518"/>
    </row>
    <row r="10" spans="1:31" ht="15.75">
      <c r="A10" s="52" t="s">
        <v>23</v>
      </c>
      <c r="B10" s="109"/>
      <c r="C10" s="110"/>
      <c r="D10" s="109"/>
      <c r="E10" s="109"/>
      <c r="F10" s="109"/>
      <c r="G10" s="111"/>
      <c r="H10" s="111"/>
      <c r="I10" s="111"/>
      <c r="J10" s="111"/>
      <c r="K10" s="111"/>
      <c r="L10" s="111"/>
      <c r="M10" s="111"/>
      <c r="N10" s="111"/>
      <c r="O10" s="111"/>
      <c r="P10" s="111"/>
      <c r="Q10" s="111"/>
      <c r="R10" s="111"/>
      <c r="S10" s="111"/>
      <c r="T10" s="111"/>
      <c r="U10" s="111"/>
      <c r="V10" s="111"/>
      <c r="W10" s="111"/>
      <c r="X10" s="111"/>
      <c r="Y10" s="111"/>
      <c r="Z10" s="111"/>
      <c r="AA10" s="111"/>
      <c r="AB10" s="111"/>
      <c r="AC10" s="111"/>
      <c r="AD10" s="111"/>
      <c r="AE10" s="112"/>
    </row>
    <row r="11" spans="1:31" ht="21" customHeight="1">
      <c r="A11" s="170">
        <v>2.1</v>
      </c>
      <c r="B11" s="281" t="s">
        <v>35</v>
      </c>
      <c r="C11" s="47" t="str">
        <f>RAZEM!C10</f>
        <v>0912-7LEK-B2.1-Bf</v>
      </c>
      <c r="D11" s="274">
        <v>4</v>
      </c>
      <c r="E11" s="115">
        <v>4</v>
      </c>
      <c r="F11" s="115"/>
      <c r="G11" s="140"/>
      <c r="H11" s="140"/>
      <c r="I11" s="140"/>
      <c r="J11" s="140"/>
      <c r="K11" s="140"/>
      <c r="L11" s="140"/>
      <c r="M11" s="140"/>
      <c r="N11" s="140"/>
      <c r="O11" s="140"/>
      <c r="P11" s="138">
        <v>20</v>
      </c>
      <c r="Q11" s="190">
        <v>5</v>
      </c>
      <c r="R11" s="138">
        <v>15</v>
      </c>
      <c r="S11" s="190">
        <v>10</v>
      </c>
      <c r="T11" s="138"/>
      <c r="U11" s="138"/>
      <c r="V11" s="138">
        <v>15</v>
      </c>
      <c r="W11" s="190">
        <v>10</v>
      </c>
      <c r="X11" s="138">
        <v>3</v>
      </c>
      <c r="Y11" s="50">
        <f>SUM(Z11:AC11)</f>
        <v>50</v>
      </c>
      <c r="Z11" s="50">
        <f>SUM(G11,P11)</f>
        <v>20</v>
      </c>
      <c r="AA11" s="50">
        <f>SUM(I11,R11)</f>
        <v>15</v>
      </c>
      <c r="AB11" s="50">
        <f>SUM(K11,T11)</f>
        <v>0</v>
      </c>
      <c r="AC11" s="50">
        <f>SUM(M11,V11)</f>
        <v>15</v>
      </c>
      <c r="AD11" s="50">
        <f>SUM(G11:N11,P11:W11)</f>
        <v>75</v>
      </c>
      <c r="AE11" s="50">
        <f>SUM(O11,X11)</f>
        <v>3</v>
      </c>
    </row>
    <row r="12" spans="1:31" ht="21.75" customHeight="1">
      <c r="A12" s="170">
        <v>2.4</v>
      </c>
      <c r="B12" s="101" t="s">
        <v>38</v>
      </c>
      <c r="C12" s="47" t="str">
        <f>RAZEM!C13</f>
        <v>0912-7LEK-B2.4-Bch</v>
      </c>
      <c r="D12" s="274">
        <v>3</v>
      </c>
      <c r="E12" s="115">
        <v>3</v>
      </c>
      <c r="F12" s="115"/>
      <c r="G12" s="140">
        <v>30</v>
      </c>
      <c r="H12" s="187">
        <v>20</v>
      </c>
      <c r="I12" s="140"/>
      <c r="J12" s="187"/>
      <c r="K12" s="140"/>
      <c r="L12" s="140"/>
      <c r="M12" s="140">
        <v>30</v>
      </c>
      <c r="N12" s="187">
        <v>45</v>
      </c>
      <c r="O12" s="140">
        <v>5</v>
      </c>
      <c r="P12" s="138"/>
      <c r="Q12" s="190"/>
      <c r="R12" s="138"/>
      <c r="S12" s="190"/>
      <c r="T12" s="138"/>
      <c r="U12" s="138"/>
      <c r="V12" s="138"/>
      <c r="W12" s="190"/>
      <c r="X12" s="138"/>
      <c r="Y12" s="50">
        <f t="shared" ref="Y12:Y13" si="0">SUM(Z12:AC12)</f>
        <v>60</v>
      </c>
      <c r="Z12" s="50">
        <f>SUM(G12,P12)</f>
        <v>30</v>
      </c>
      <c r="AA12" s="50">
        <f>SUM(I12,R12)</f>
        <v>0</v>
      </c>
      <c r="AB12" s="50">
        <f>SUM(K12,T12)</f>
        <v>0</v>
      </c>
      <c r="AC12" s="50">
        <f>SUM(M12,V12)</f>
        <v>30</v>
      </c>
      <c r="AD12" s="50">
        <f>SUM(G12:N12,P12:W12)</f>
        <v>125</v>
      </c>
      <c r="AE12" s="50">
        <f>SUM(O12,X12)</f>
        <v>5</v>
      </c>
    </row>
    <row r="13" spans="1:31" ht="24" customHeight="1">
      <c r="A13" s="170">
        <v>2.5</v>
      </c>
      <c r="B13" s="281" t="s">
        <v>39</v>
      </c>
      <c r="C13" s="47" t="str">
        <f>RAZEM!C14</f>
        <v>0912-7LEK-B2.5-FzC</v>
      </c>
      <c r="D13" s="274">
        <v>4</v>
      </c>
      <c r="E13" s="115" t="s">
        <v>274</v>
      </c>
      <c r="F13" s="115"/>
      <c r="G13" s="140">
        <v>25</v>
      </c>
      <c r="H13" s="187">
        <v>25</v>
      </c>
      <c r="I13" s="140">
        <v>25</v>
      </c>
      <c r="J13" s="187">
        <v>50</v>
      </c>
      <c r="K13" s="140"/>
      <c r="L13" s="140"/>
      <c r="M13" s="140">
        <v>30</v>
      </c>
      <c r="N13" s="187">
        <v>20</v>
      </c>
      <c r="O13" s="140">
        <v>7</v>
      </c>
      <c r="P13" s="138">
        <v>25</v>
      </c>
      <c r="Q13" s="190">
        <v>25</v>
      </c>
      <c r="R13" s="138">
        <v>25</v>
      </c>
      <c r="S13" s="190">
        <v>50</v>
      </c>
      <c r="T13" s="138"/>
      <c r="U13" s="138"/>
      <c r="V13" s="138">
        <v>30</v>
      </c>
      <c r="W13" s="190">
        <v>20</v>
      </c>
      <c r="X13" s="138">
        <v>7</v>
      </c>
      <c r="Y13" s="50">
        <f t="shared" si="0"/>
        <v>160</v>
      </c>
      <c r="Z13" s="50">
        <f>SUM(G13,P13)</f>
        <v>50</v>
      </c>
      <c r="AA13" s="50">
        <f>SUM(I13,R13)</f>
        <v>50</v>
      </c>
      <c r="AB13" s="50">
        <f>SUM(K13,T13)</f>
        <v>0</v>
      </c>
      <c r="AC13" s="50">
        <f>SUM(M13,V13)</f>
        <v>60</v>
      </c>
      <c r="AD13" s="50">
        <f>SUM(G13:N13,P13:W13)</f>
        <v>350</v>
      </c>
      <c r="AE13" s="50">
        <f>SUM(O13,X13)</f>
        <v>14</v>
      </c>
    </row>
    <row r="14" spans="1:31" ht="15.75">
      <c r="A14" s="474" t="s">
        <v>9</v>
      </c>
      <c r="B14" s="475"/>
      <c r="C14" s="475"/>
      <c r="D14" s="475"/>
      <c r="E14" s="475"/>
      <c r="F14" s="476"/>
      <c r="G14" s="58">
        <f t="shared" ref="G14:X14" si="1">SUM(G11:G13)</f>
        <v>55</v>
      </c>
      <c r="H14" s="188">
        <f t="shared" si="1"/>
        <v>45</v>
      </c>
      <c r="I14" s="58">
        <f t="shared" si="1"/>
        <v>25</v>
      </c>
      <c r="J14" s="188">
        <f t="shared" si="1"/>
        <v>50</v>
      </c>
      <c r="K14" s="58">
        <f t="shared" si="1"/>
        <v>0</v>
      </c>
      <c r="L14" s="188">
        <f t="shared" si="1"/>
        <v>0</v>
      </c>
      <c r="M14" s="58">
        <f t="shared" si="1"/>
        <v>60</v>
      </c>
      <c r="N14" s="188">
        <f t="shared" si="1"/>
        <v>65</v>
      </c>
      <c r="O14" s="58">
        <f t="shared" si="1"/>
        <v>12</v>
      </c>
      <c r="P14" s="58">
        <f t="shared" si="1"/>
        <v>45</v>
      </c>
      <c r="Q14" s="188">
        <f t="shared" si="1"/>
        <v>30</v>
      </c>
      <c r="R14" s="58">
        <f t="shared" si="1"/>
        <v>40</v>
      </c>
      <c r="S14" s="188">
        <f t="shared" si="1"/>
        <v>60</v>
      </c>
      <c r="T14" s="58">
        <f t="shared" si="1"/>
        <v>0</v>
      </c>
      <c r="U14" s="188">
        <f t="shared" si="1"/>
        <v>0</v>
      </c>
      <c r="V14" s="58">
        <f t="shared" si="1"/>
        <v>45</v>
      </c>
      <c r="W14" s="188">
        <f t="shared" si="1"/>
        <v>30</v>
      </c>
      <c r="X14" s="58">
        <f t="shared" si="1"/>
        <v>10</v>
      </c>
      <c r="Y14" s="58">
        <f>SUM(Y11:Y13)</f>
        <v>270</v>
      </c>
      <c r="Z14" s="58">
        <f>SUM(Z11:Z13)</f>
        <v>100</v>
      </c>
      <c r="AA14" s="58">
        <f t="shared" ref="AA14:AC14" si="2">SUM(AA11:AA13)</f>
        <v>65</v>
      </c>
      <c r="AB14" s="58">
        <f t="shared" si="2"/>
        <v>0</v>
      </c>
      <c r="AC14" s="58">
        <f t="shared" si="2"/>
        <v>105</v>
      </c>
      <c r="AD14" s="58">
        <f>SUM(AD11:AD13)</f>
        <v>550</v>
      </c>
      <c r="AE14" s="58">
        <f>SUM(AE11:AE13)</f>
        <v>22</v>
      </c>
    </row>
    <row r="15" spans="1:31" ht="15.75">
      <c r="A15" s="52" t="s">
        <v>24</v>
      </c>
      <c r="B15" s="53"/>
      <c r="C15" s="54"/>
      <c r="D15" s="118"/>
      <c r="E15" s="118"/>
      <c r="F15" s="118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55"/>
      <c r="Y15" s="55"/>
      <c r="Z15" s="55"/>
      <c r="AA15" s="55"/>
      <c r="AB15" s="55"/>
      <c r="AC15" s="55"/>
      <c r="AD15" s="55"/>
      <c r="AE15" s="56"/>
    </row>
    <row r="16" spans="1:31" ht="21.75" customHeight="1">
      <c r="A16" s="171">
        <v>3.1</v>
      </c>
      <c r="B16" s="281" t="s">
        <v>41</v>
      </c>
      <c r="C16" s="47" t="str">
        <f>RAZEM!C21</f>
        <v>0912-7LEK-C3.1-G</v>
      </c>
      <c r="D16" s="115">
        <v>3</v>
      </c>
      <c r="E16" s="115">
        <v>3</v>
      </c>
      <c r="F16" s="115"/>
      <c r="G16" s="140">
        <v>15</v>
      </c>
      <c r="H16" s="187">
        <v>20</v>
      </c>
      <c r="I16" s="140">
        <v>30</v>
      </c>
      <c r="J16" s="187">
        <v>35</v>
      </c>
      <c r="K16" s="140"/>
      <c r="L16" s="140"/>
      <c r="M16" s="140"/>
      <c r="N16" s="140"/>
      <c r="O16" s="140">
        <v>4</v>
      </c>
      <c r="P16" s="138"/>
      <c r="Q16" s="138"/>
      <c r="R16" s="138"/>
      <c r="S16" s="138"/>
      <c r="T16" s="138"/>
      <c r="U16" s="138"/>
      <c r="V16" s="138"/>
      <c r="W16" s="138"/>
      <c r="X16" s="138"/>
      <c r="Y16" s="50">
        <f>SUM(Z16:AC16)</f>
        <v>45</v>
      </c>
      <c r="Z16" s="50">
        <f>SUM(G16,P16)</f>
        <v>15</v>
      </c>
      <c r="AA16" s="50">
        <f>SUM(I16,R16)</f>
        <v>30</v>
      </c>
      <c r="AB16" s="50">
        <f>SUM(K16,T16)</f>
        <v>0</v>
      </c>
      <c r="AC16" s="50">
        <f>SUM(M16,V16)</f>
        <v>0</v>
      </c>
      <c r="AD16" s="50">
        <f>SUM(G16:N16,P16:W16)</f>
        <v>100</v>
      </c>
      <c r="AE16" s="50">
        <f>SUM(O16,X16)</f>
        <v>4</v>
      </c>
    </row>
    <row r="17" spans="1:31" ht="21.75" customHeight="1">
      <c r="A17" s="170">
        <v>3.2</v>
      </c>
      <c r="B17" s="281" t="s">
        <v>42</v>
      </c>
      <c r="C17" s="47" t="str">
        <f>RAZEM!C22</f>
        <v>0912-7LEK-C3.2-M</v>
      </c>
      <c r="D17" s="115">
        <v>4</v>
      </c>
      <c r="E17" s="115" t="s">
        <v>274</v>
      </c>
      <c r="F17" s="115"/>
      <c r="G17" s="140">
        <v>10</v>
      </c>
      <c r="H17" s="187">
        <v>10</v>
      </c>
      <c r="I17" s="140">
        <v>20</v>
      </c>
      <c r="J17" s="187">
        <v>40</v>
      </c>
      <c r="K17" s="140"/>
      <c r="L17" s="140"/>
      <c r="M17" s="140">
        <v>20</v>
      </c>
      <c r="N17" s="140"/>
      <c r="O17" s="140">
        <v>4</v>
      </c>
      <c r="P17" s="138">
        <v>10</v>
      </c>
      <c r="Q17" s="190">
        <v>10</v>
      </c>
      <c r="R17" s="138">
        <v>20</v>
      </c>
      <c r="S17" s="190">
        <v>40</v>
      </c>
      <c r="T17" s="138"/>
      <c r="U17" s="138"/>
      <c r="V17" s="138">
        <v>20</v>
      </c>
      <c r="W17" s="138"/>
      <c r="X17" s="138">
        <v>4</v>
      </c>
      <c r="Y17" s="50">
        <f t="shared" ref="Y17:Y19" si="3">SUM(Z17:AC17)</f>
        <v>100</v>
      </c>
      <c r="Z17" s="50">
        <f>SUM(G17,P17)</f>
        <v>20</v>
      </c>
      <c r="AA17" s="50">
        <f>SUM(I17,R17)</f>
        <v>40</v>
      </c>
      <c r="AB17" s="50">
        <f>SUM(K17,T17)</f>
        <v>0</v>
      </c>
      <c r="AC17" s="50">
        <f>SUM(M17,V17)</f>
        <v>40</v>
      </c>
      <c r="AD17" s="50">
        <f>SUM(G17:N17,P17:W17)</f>
        <v>200</v>
      </c>
      <c r="AE17" s="50">
        <f>SUM(O17,X17)</f>
        <v>8</v>
      </c>
    </row>
    <row r="18" spans="1:31" ht="21.75" customHeight="1">
      <c r="A18" s="171">
        <v>3.3</v>
      </c>
      <c r="B18" s="281" t="s">
        <v>43</v>
      </c>
      <c r="C18" s="47" t="str">
        <f>RAZEM!C23</f>
        <v>0912-7LEK-C3.3-P</v>
      </c>
      <c r="D18" s="115">
        <v>4</v>
      </c>
      <c r="E18" s="115">
        <v>4</v>
      </c>
      <c r="F18" s="115"/>
      <c r="G18" s="140"/>
      <c r="H18" s="187"/>
      <c r="I18" s="140"/>
      <c r="J18" s="187"/>
      <c r="K18" s="140"/>
      <c r="L18" s="140"/>
      <c r="M18" s="140"/>
      <c r="N18" s="140"/>
      <c r="O18" s="140"/>
      <c r="P18" s="138">
        <v>15</v>
      </c>
      <c r="Q18" s="190">
        <v>15</v>
      </c>
      <c r="R18" s="138">
        <v>15</v>
      </c>
      <c r="S18" s="190">
        <v>15</v>
      </c>
      <c r="T18" s="138"/>
      <c r="U18" s="138"/>
      <c r="V18" s="138">
        <v>15</v>
      </c>
      <c r="W18" s="138"/>
      <c r="X18" s="138">
        <v>3</v>
      </c>
      <c r="Y18" s="50">
        <f t="shared" si="3"/>
        <v>45</v>
      </c>
      <c r="Z18" s="50">
        <f>SUM(G18,P18)</f>
        <v>15</v>
      </c>
      <c r="AA18" s="50">
        <f>SUM(I18,R18)</f>
        <v>15</v>
      </c>
      <c r="AB18" s="50">
        <f>SUM(K18,T18)</f>
        <v>0</v>
      </c>
      <c r="AC18" s="50">
        <f>SUM(M18,V18)</f>
        <v>15</v>
      </c>
      <c r="AD18" s="50">
        <f>SUM(G18:N18,P18:W18)</f>
        <v>75</v>
      </c>
      <c r="AE18" s="50">
        <f>SUM(O18,X18)</f>
        <v>3</v>
      </c>
    </row>
    <row r="19" spans="1:31" ht="21.75" customHeight="1">
      <c r="A19" s="170">
        <v>3.4</v>
      </c>
      <c r="B19" s="281" t="s">
        <v>44</v>
      </c>
      <c r="C19" s="47" t="str">
        <f>RAZEM!C24</f>
        <v>0912-7LEK-C3.4-I</v>
      </c>
      <c r="D19" s="115">
        <v>3</v>
      </c>
      <c r="E19" s="115">
        <v>3</v>
      </c>
      <c r="F19" s="115"/>
      <c r="G19" s="140">
        <v>15</v>
      </c>
      <c r="H19" s="187">
        <v>15</v>
      </c>
      <c r="I19" s="140">
        <v>10</v>
      </c>
      <c r="J19" s="187">
        <v>15</v>
      </c>
      <c r="K19" s="140"/>
      <c r="L19" s="140"/>
      <c r="M19" s="140">
        <v>20</v>
      </c>
      <c r="N19" s="140"/>
      <c r="O19" s="140">
        <v>3</v>
      </c>
      <c r="P19" s="138"/>
      <c r="Q19" s="190"/>
      <c r="R19" s="138"/>
      <c r="S19" s="190"/>
      <c r="T19" s="138"/>
      <c r="U19" s="138"/>
      <c r="V19" s="138"/>
      <c r="W19" s="138"/>
      <c r="X19" s="138"/>
      <c r="Y19" s="50">
        <f t="shared" si="3"/>
        <v>45</v>
      </c>
      <c r="Z19" s="50">
        <f>SUM(G19,P19)</f>
        <v>15</v>
      </c>
      <c r="AA19" s="50">
        <f>SUM(I19,R19)</f>
        <v>10</v>
      </c>
      <c r="AB19" s="50">
        <f>SUM(K19,T19)</f>
        <v>0</v>
      </c>
      <c r="AC19" s="50">
        <f>SUM(M19,V19)</f>
        <v>20</v>
      </c>
      <c r="AD19" s="50">
        <f>SUM(G19:N19,P19:W19)</f>
        <v>75</v>
      </c>
      <c r="AE19" s="50">
        <f>SUM(O19,X19)</f>
        <v>3</v>
      </c>
    </row>
    <row r="20" spans="1:31" ht="15.75">
      <c r="A20" s="474" t="s">
        <v>9</v>
      </c>
      <c r="B20" s="475"/>
      <c r="C20" s="475"/>
      <c r="D20" s="475"/>
      <c r="E20" s="475"/>
      <c r="F20" s="476"/>
      <c r="G20" s="58">
        <f t="shared" ref="G20:X20" si="4">SUM(G16:G19)</f>
        <v>40</v>
      </c>
      <c r="H20" s="188">
        <f t="shared" si="4"/>
        <v>45</v>
      </c>
      <c r="I20" s="58">
        <f t="shared" si="4"/>
        <v>60</v>
      </c>
      <c r="J20" s="188">
        <f t="shared" si="4"/>
        <v>90</v>
      </c>
      <c r="K20" s="58">
        <f t="shared" si="4"/>
        <v>0</v>
      </c>
      <c r="L20" s="188">
        <f t="shared" si="4"/>
        <v>0</v>
      </c>
      <c r="M20" s="58">
        <f t="shared" si="4"/>
        <v>40</v>
      </c>
      <c r="N20" s="58">
        <f t="shared" si="4"/>
        <v>0</v>
      </c>
      <c r="O20" s="58">
        <f t="shared" si="4"/>
        <v>11</v>
      </c>
      <c r="P20" s="58">
        <f t="shared" si="4"/>
        <v>25</v>
      </c>
      <c r="Q20" s="188">
        <f t="shared" si="4"/>
        <v>25</v>
      </c>
      <c r="R20" s="58">
        <f t="shared" si="4"/>
        <v>35</v>
      </c>
      <c r="S20" s="188">
        <f t="shared" si="4"/>
        <v>55</v>
      </c>
      <c r="T20" s="58">
        <f t="shared" si="4"/>
        <v>0</v>
      </c>
      <c r="U20" s="188">
        <f t="shared" si="4"/>
        <v>0</v>
      </c>
      <c r="V20" s="58">
        <f t="shared" si="4"/>
        <v>35</v>
      </c>
      <c r="W20" s="58">
        <f t="shared" si="4"/>
        <v>0</v>
      </c>
      <c r="X20" s="58">
        <f t="shared" si="4"/>
        <v>7</v>
      </c>
      <c r="Y20" s="58">
        <f>SUM(Y16:Y19)</f>
        <v>235</v>
      </c>
      <c r="Z20" s="58">
        <f>SUM(Z16:Z19)</f>
        <v>65</v>
      </c>
      <c r="AA20" s="58">
        <f t="shared" ref="AA20:AC20" si="5">SUM(AA16:AA19)</f>
        <v>95</v>
      </c>
      <c r="AB20" s="58">
        <f t="shared" si="5"/>
        <v>0</v>
      </c>
      <c r="AC20" s="58">
        <f t="shared" si="5"/>
        <v>75</v>
      </c>
      <c r="AD20" s="58">
        <f>SUM(AD16:AD19)</f>
        <v>450</v>
      </c>
      <c r="AE20" s="58">
        <f>SUM(AE16:AE19)</f>
        <v>18</v>
      </c>
    </row>
    <row r="21" spans="1:31" s="349" customFormat="1" ht="15.75" customHeight="1">
      <c r="A21" s="525" t="s">
        <v>34</v>
      </c>
      <c r="B21" s="526"/>
      <c r="C21" s="526"/>
      <c r="D21" s="526"/>
      <c r="E21" s="526"/>
      <c r="F21" s="526"/>
      <c r="G21" s="526"/>
      <c r="H21" s="526"/>
      <c r="I21" s="526"/>
      <c r="J21" s="526"/>
      <c r="K21" s="526"/>
      <c r="L21" s="526"/>
      <c r="M21" s="526"/>
      <c r="N21" s="526"/>
      <c r="O21" s="526"/>
      <c r="P21" s="526"/>
      <c r="Q21" s="526"/>
      <c r="R21" s="526"/>
      <c r="S21" s="526"/>
      <c r="T21" s="526"/>
      <c r="U21" s="526"/>
      <c r="V21" s="526"/>
      <c r="W21" s="526"/>
      <c r="X21" s="526"/>
      <c r="Y21" s="526"/>
      <c r="Z21" s="526"/>
      <c r="AA21" s="526"/>
      <c r="AB21" s="526"/>
      <c r="AC21" s="526"/>
      <c r="AD21" s="526"/>
      <c r="AE21" s="527"/>
    </row>
    <row r="22" spans="1:31" s="35" customFormat="1" ht="23.25" customHeight="1">
      <c r="A22" s="409" t="s">
        <v>309</v>
      </c>
      <c r="B22" s="407" t="s">
        <v>17</v>
      </c>
      <c r="C22" s="393" t="str">
        <f>RAZEM!C34</f>
        <v>0912-7LEK-A4.6-JA</v>
      </c>
      <c r="D22" s="414">
        <v>4</v>
      </c>
      <c r="E22" s="406" t="s">
        <v>239</v>
      </c>
      <c r="F22" s="415"/>
      <c r="G22" s="416"/>
      <c r="H22" s="416"/>
      <c r="I22" s="416">
        <v>30</v>
      </c>
      <c r="J22" s="421">
        <v>15</v>
      </c>
      <c r="K22" s="416"/>
      <c r="L22" s="416"/>
      <c r="M22" s="416"/>
      <c r="N22" s="416"/>
      <c r="O22" s="416">
        <v>1.5</v>
      </c>
      <c r="P22" s="417"/>
      <c r="Q22" s="417"/>
      <c r="R22" s="417">
        <v>30</v>
      </c>
      <c r="S22" s="420">
        <v>15</v>
      </c>
      <c r="T22" s="417"/>
      <c r="U22" s="417"/>
      <c r="V22" s="417"/>
      <c r="W22" s="417"/>
      <c r="X22" s="417">
        <v>1.5</v>
      </c>
      <c r="Y22" s="408">
        <f>SUM(Z22:AC22)</f>
        <v>60</v>
      </c>
      <c r="Z22" s="408">
        <f>SUM(G22,P22)</f>
        <v>0</v>
      </c>
      <c r="AA22" s="408">
        <f>SUM(I22,R22)</f>
        <v>60</v>
      </c>
      <c r="AB22" s="408">
        <f>SUM(K22,T22)</f>
        <v>0</v>
      </c>
      <c r="AC22" s="408">
        <f>SUM(M22,V22)</f>
        <v>0</v>
      </c>
      <c r="AD22" s="408">
        <f>SUM(G22:N22,P22:W22)</f>
        <v>90</v>
      </c>
      <c r="AE22" s="408">
        <f>SUM(O22,X22)</f>
        <v>3</v>
      </c>
    </row>
    <row r="23" spans="1:31" s="350" customFormat="1" ht="15.75" customHeight="1">
      <c r="A23" s="409">
        <v>4.2</v>
      </c>
      <c r="B23" s="419" t="s">
        <v>307</v>
      </c>
      <c r="C23" s="393" t="s">
        <v>308</v>
      </c>
      <c r="D23" s="402"/>
      <c r="E23" s="418">
        <v>4</v>
      </c>
      <c r="F23" s="418"/>
      <c r="G23" s="416"/>
      <c r="H23" s="416"/>
      <c r="I23" s="416"/>
      <c r="J23" s="416"/>
      <c r="K23" s="416"/>
      <c r="L23" s="416"/>
      <c r="M23" s="416"/>
      <c r="N23" s="416"/>
      <c r="O23" s="416"/>
      <c r="P23" s="417">
        <v>20</v>
      </c>
      <c r="Q23" s="420">
        <v>5</v>
      </c>
      <c r="R23" s="417">
        <v>10</v>
      </c>
      <c r="S23" s="420">
        <v>15</v>
      </c>
      <c r="T23" s="417"/>
      <c r="U23" s="417"/>
      <c r="V23" s="417"/>
      <c r="W23" s="417"/>
      <c r="X23" s="417">
        <v>2</v>
      </c>
      <c r="Y23" s="418">
        <f>SUM(Z23:AC23)</f>
        <v>30</v>
      </c>
      <c r="Z23" s="418">
        <f>SUM(G23,P23)</f>
        <v>20</v>
      </c>
      <c r="AA23" s="418">
        <f>SUM(I23,R23)</f>
        <v>10</v>
      </c>
      <c r="AB23" s="418">
        <f>SUM(K23,T23)</f>
        <v>0</v>
      </c>
      <c r="AC23" s="418">
        <f>SUM(M23,V23)</f>
        <v>0</v>
      </c>
      <c r="AD23" s="418">
        <f>SUM(G23:N23,P23:W23)</f>
        <v>50</v>
      </c>
      <c r="AE23" s="418">
        <f>SUM(O23,X23)</f>
        <v>2</v>
      </c>
    </row>
    <row r="24" spans="1:31" s="383" customFormat="1" ht="15.75" customHeight="1">
      <c r="A24" s="529" t="s">
        <v>9</v>
      </c>
      <c r="B24" s="530"/>
      <c r="C24" s="530"/>
      <c r="D24" s="530"/>
      <c r="E24" s="530"/>
      <c r="F24" s="530"/>
      <c r="G24" s="381">
        <f t="shared" ref="G24:AE24" si="6">SUM(G22:G23)</f>
        <v>0</v>
      </c>
      <c r="H24" s="381">
        <f t="shared" si="6"/>
        <v>0</v>
      </c>
      <c r="I24" s="381">
        <f t="shared" si="6"/>
        <v>30</v>
      </c>
      <c r="J24" s="381">
        <f t="shared" si="6"/>
        <v>15</v>
      </c>
      <c r="K24" s="381">
        <f t="shared" si="6"/>
        <v>0</v>
      </c>
      <c r="L24" s="381">
        <f t="shared" si="6"/>
        <v>0</v>
      </c>
      <c r="M24" s="381">
        <f t="shared" si="6"/>
        <v>0</v>
      </c>
      <c r="N24" s="381">
        <f t="shared" si="6"/>
        <v>0</v>
      </c>
      <c r="O24" s="381">
        <f t="shared" si="6"/>
        <v>1.5</v>
      </c>
      <c r="P24" s="381">
        <f t="shared" si="6"/>
        <v>20</v>
      </c>
      <c r="Q24" s="381">
        <f t="shared" si="6"/>
        <v>5</v>
      </c>
      <c r="R24" s="381">
        <f t="shared" si="6"/>
        <v>40</v>
      </c>
      <c r="S24" s="381">
        <f t="shared" si="6"/>
        <v>30</v>
      </c>
      <c r="T24" s="381">
        <f t="shared" si="6"/>
        <v>0</v>
      </c>
      <c r="U24" s="381">
        <f t="shared" si="6"/>
        <v>0</v>
      </c>
      <c r="V24" s="381">
        <f t="shared" si="6"/>
        <v>0</v>
      </c>
      <c r="W24" s="381">
        <f t="shared" si="6"/>
        <v>0</v>
      </c>
      <c r="X24" s="381">
        <f t="shared" si="6"/>
        <v>3.5</v>
      </c>
      <c r="Y24" s="381">
        <f t="shared" si="6"/>
        <v>90</v>
      </c>
      <c r="Z24" s="381">
        <f t="shared" si="6"/>
        <v>20</v>
      </c>
      <c r="AA24" s="381">
        <f t="shared" si="6"/>
        <v>70</v>
      </c>
      <c r="AB24" s="381">
        <f t="shared" si="6"/>
        <v>0</v>
      </c>
      <c r="AC24" s="381">
        <f t="shared" si="6"/>
        <v>0</v>
      </c>
      <c r="AD24" s="381">
        <f t="shared" si="6"/>
        <v>140</v>
      </c>
      <c r="AE24" s="382">
        <f t="shared" si="6"/>
        <v>5</v>
      </c>
    </row>
    <row r="25" spans="1:31" ht="15.75">
      <c r="A25" s="52" t="s">
        <v>27</v>
      </c>
      <c r="B25" s="53"/>
      <c r="C25" s="54"/>
      <c r="D25" s="118"/>
      <c r="E25" s="118"/>
      <c r="F25" s="118"/>
      <c r="G25" s="55"/>
      <c r="H25" s="55"/>
      <c r="I25" s="55"/>
      <c r="J25" s="55"/>
      <c r="K25" s="55"/>
      <c r="L25" s="55"/>
      <c r="M25" s="55"/>
      <c r="N25" s="55"/>
      <c r="O25" s="55"/>
      <c r="P25" s="55"/>
      <c r="Q25" s="55"/>
      <c r="R25" s="55"/>
      <c r="S25" s="55"/>
      <c r="T25" s="55"/>
      <c r="U25" s="55"/>
      <c r="V25" s="55"/>
      <c r="W25" s="55"/>
      <c r="X25" s="55"/>
      <c r="Y25" s="55"/>
      <c r="Z25" s="55"/>
      <c r="AA25" s="55"/>
      <c r="AB25" s="55"/>
      <c r="AC25" s="55"/>
      <c r="AD25" s="55"/>
      <c r="AE25" s="56"/>
    </row>
    <row r="26" spans="1:31" ht="22.5" customHeight="1">
      <c r="A26" s="169">
        <v>7.1</v>
      </c>
      <c r="B26" s="123" t="s">
        <v>75</v>
      </c>
      <c r="C26" s="121" t="str">
        <f>RAZEM!C68</f>
        <v>0912-7LEK-C7.1-H</v>
      </c>
      <c r="D26" s="120"/>
      <c r="E26" s="120">
        <v>5</v>
      </c>
      <c r="F26" s="120"/>
      <c r="G26" s="140">
        <v>15</v>
      </c>
      <c r="H26" s="187">
        <v>10</v>
      </c>
      <c r="I26" s="140"/>
      <c r="J26" s="140"/>
      <c r="K26" s="140"/>
      <c r="L26" s="140"/>
      <c r="M26" s="140"/>
      <c r="N26" s="140"/>
      <c r="O26" s="140">
        <v>1</v>
      </c>
      <c r="P26" s="138"/>
      <c r="Q26" s="190"/>
      <c r="R26" s="138"/>
      <c r="S26" s="138"/>
      <c r="T26" s="138"/>
      <c r="U26" s="138"/>
      <c r="V26" s="138"/>
      <c r="W26" s="138"/>
      <c r="X26" s="138"/>
      <c r="Y26" s="50">
        <f>SUM(Z26:AC26)</f>
        <v>15</v>
      </c>
      <c r="Z26" s="50">
        <f>SUM(G26,P26)</f>
        <v>15</v>
      </c>
      <c r="AA26" s="50">
        <f>SUM(I26,R26)</f>
        <v>0</v>
      </c>
      <c r="AB26" s="50">
        <f>SUM(K26,T26)</f>
        <v>0</v>
      </c>
      <c r="AC26" s="50">
        <f>SUM(M26,V26)</f>
        <v>0</v>
      </c>
      <c r="AD26" s="50">
        <f>SUM(G26:N26,P26:W26)</f>
        <v>25</v>
      </c>
      <c r="AE26" s="50">
        <f>SUM(O26,X26)</f>
        <v>1</v>
      </c>
    </row>
    <row r="27" spans="1:31" ht="22.5" customHeight="1">
      <c r="A27" s="169">
        <v>7.2</v>
      </c>
      <c r="B27" s="123" t="s">
        <v>76</v>
      </c>
      <c r="C27" s="121" t="str">
        <f>RAZEM!C69</f>
        <v>0912-7LEK-C7.2-E</v>
      </c>
      <c r="D27" s="120"/>
      <c r="E27" s="120">
        <v>6</v>
      </c>
      <c r="F27" s="120"/>
      <c r="G27" s="140">
        <v>15</v>
      </c>
      <c r="H27" s="187">
        <v>10</v>
      </c>
      <c r="I27" s="140"/>
      <c r="J27" s="140"/>
      <c r="K27" s="140"/>
      <c r="L27" s="140"/>
      <c r="M27" s="140"/>
      <c r="N27" s="140"/>
      <c r="O27" s="140">
        <v>1</v>
      </c>
      <c r="P27" s="138"/>
      <c r="Q27" s="190"/>
      <c r="R27" s="138"/>
      <c r="S27" s="138"/>
      <c r="T27" s="138"/>
      <c r="U27" s="138"/>
      <c r="V27" s="138"/>
      <c r="W27" s="138"/>
      <c r="X27" s="138"/>
      <c r="Y27" s="50">
        <f t="shared" ref="Y27:Y28" si="7">SUM(Z27:AC27)</f>
        <v>15</v>
      </c>
      <c r="Z27" s="50">
        <f>SUM(G27,P27)</f>
        <v>15</v>
      </c>
      <c r="AA27" s="50">
        <f>SUM(I27,R27)</f>
        <v>0</v>
      </c>
      <c r="AB27" s="50">
        <f>SUM(K27,T27)</f>
        <v>0</v>
      </c>
      <c r="AC27" s="50">
        <f>SUM(M27,V27)</f>
        <v>0</v>
      </c>
      <c r="AD27" s="50">
        <f>SUM(G27:N27,P27:W27)</f>
        <v>25</v>
      </c>
      <c r="AE27" s="50">
        <f>SUM(O27,X27)</f>
        <v>1</v>
      </c>
    </row>
    <row r="28" spans="1:31" ht="22.5" customHeight="1">
      <c r="A28" s="172">
        <v>7.3</v>
      </c>
      <c r="B28" s="123" t="s">
        <v>77</v>
      </c>
      <c r="C28" s="121" t="str">
        <f>RAZEM!C70</f>
        <v>0912-7LEK-C7.3-Z</v>
      </c>
      <c r="D28" s="122"/>
      <c r="E28" s="122">
        <v>4</v>
      </c>
      <c r="F28" s="122"/>
      <c r="G28" s="157"/>
      <c r="H28" s="189"/>
      <c r="I28" s="157"/>
      <c r="J28" s="157"/>
      <c r="K28" s="157"/>
      <c r="L28" s="157"/>
      <c r="M28" s="157"/>
      <c r="N28" s="157"/>
      <c r="O28" s="157"/>
      <c r="P28" s="138">
        <v>15</v>
      </c>
      <c r="Q28" s="190">
        <v>10</v>
      </c>
      <c r="R28" s="138"/>
      <c r="S28" s="138"/>
      <c r="T28" s="138"/>
      <c r="U28" s="138"/>
      <c r="V28" s="138"/>
      <c r="W28" s="138"/>
      <c r="X28" s="138">
        <v>1</v>
      </c>
      <c r="Y28" s="50">
        <f t="shared" si="7"/>
        <v>15</v>
      </c>
      <c r="Z28" s="50">
        <f>SUM(G28,P28)</f>
        <v>15</v>
      </c>
      <c r="AA28" s="50">
        <f>SUM(I28,R28)</f>
        <v>0</v>
      </c>
      <c r="AB28" s="50">
        <f>SUM(K28,T28)</f>
        <v>0</v>
      </c>
      <c r="AC28" s="50">
        <f>SUM(M28,V28)</f>
        <v>0</v>
      </c>
      <c r="AD28" s="50">
        <f>SUM(G28:N28,P28:W28)</f>
        <v>25</v>
      </c>
      <c r="AE28" s="50">
        <f>SUM(O28,X28)</f>
        <v>1</v>
      </c>
    </row>
    <row r="29" spans="1:31" ht="15.75">
      <c r="A29" s="474" t="s">
        <v>9</v>
      </c>
      <c r="B29" s="475"/>
      <c r="C29" s="475"/>
      <c r="D29" s="475"/>
      <c r="E29" s="475"/>
      <c r="F29" s="476"/>
      <c r="G29" s="58">
        <f>SUM(G26:G28)</f>
        <v>30</v>
      </c>
      <c r="H29" s="188">
        <f t="shared" ref="H29:X29" si="8">SUM(H26:H28)</f>
        <v>20</v>
      </c>
      <c r="I29" s="58">
        <f t="shared" si="8"/>
        <v>0</v>
      </c>
      <c r="J29" s="58">
        <f t="shared" si="8"/>
        <v>0</v>
      </c>
      <c r="K29" s="58">
        <f t="shared" si="8"/>
        <v>0</v>
      </c>
      <c r="L29" s="58">
        <f t="shared" si="8"/>
        <v>0</v>
      </c>
      <c r="M29" s="58">
        <f t="shared" si="8"/>
        <v>0</v>
      </c>
      <c r="N29" s="58">
        <f t="shared" si="8"/>
        <v>0</v>
      </c>
      <c r="O29" s="58">
        <f t="shared" si="8"/>
        <v>2</v>
      </c>
      <c r="P29" s="58">
        <f t="shared" si="8"/>
        <v>15</v>
      </c>
      <c r="Q29" s="188">
        <f t="shared" si="8"/>
        <v>10</v>
      </c>
      <c r="R29" s="58">
        <f t="shared" si="8"/>
        <v>0</v>
      </c>
      <c r="S29" s="188">
        <f t="shared" si="8"/>
        <v>0</v>
      </c>
      <c r="T29" s="58">
        <f t="shared" si="8"/>
        <v>0</v>
      </c>
      <c r="U29" s="188">
        <f t="shared" si="8"/>
        <v>0</v>
      </c>
      <c r="V29" s="58">
        <f t="shared" si="8"/>
        <v>0</v>
      </c>
      <c r="W29" s="188">
        <f t="shared" si="8"/>
        <v>0</v>
      </c>
      <c r="X29" s="58">
        <f t="shared" si="8"/>
        <v>1</v>
      </c>
      <c r="Y29" s="58">
        <f>SUM(Y26:Y28)</f>
        <v>45</v>
      </c>
      <c r="Z29" s="58">
        <f t="shared" ref="Z29:AC29" si="9">SUM(Z26:Z28)</f>
        <v>45</v>
      </c>
      <c r="AA29" s="58">
        <f t="shared" si="9"/>
        <v>0</v>
      </c>
      <c r="AB29" s="58">
        <f t="shared" si="9"/>
        <v>0</v>
      </c>
      <c r="AC29" s="58">
        <f t="shared" si="9"/>
        <v>0</v>
      </c>
      <c r="AD29" s="58">
        <f>SUM(AD26:AD28)</f>
        <v>75</v>
      </c>
      <c r="AE29" s="58">
        <f>SUM(AE26:AE28)</f>
        <v>3</v>
      </c>
    </row>
    <row r="30" spans="1:31" ht="20.25" customHeight="1">
      <c r="A30" s="52" t="s">
        <v>279</v>
      </c>
      <c r="B30" s="53"/>
      <c r="C30" s="54"/>
      <c r="D30" s="118"/>
      <c r="E30" s="118"/>
      <c r="F30" s="118"/>
      <c r="G30" s="55"/>
      <c r="H30" s="55"/>
      <c r="I30" s="55"/>
      <c r="J30" s="55"/>
      <c r="K30" s="55"/>
      <c r="L30" s="55"/>
      <c r="M30" s="55"/>
      <c r="N30" s="55"/>
      <c r="O30" s="55"/>
      <c r="P30" s="55"/>
      <c r="Q30" s="55"/>
      <c r="R30" s="55"/>
      <c r="S30" s="55"/>
      <c r="T30" s="55"/>
      <c r="U30" s="55"/>
      <c r="V30" s="55"/>
      <c r="W30" s="55"/>
      <c r="X30" s="55"/>
      <c r="Y30" s="55"/>
      <c r="Z30" s="55"/>
      <c r="AA30" s="55"/>
      <c r="AB30" s="55"/>
      <c r="AC30" s="55"/>
      <c r="AD30" s="55"/>
      <c r="AE30" s="56"/>
    </row>
    <row r="31" spans="1:31" ht="20.25" customHeight="1">
      <c r="A31" s="169">
        <v>9.1999999999999993</v>
      </c>
      <c r="B31" s="61" t="s">
        <v>236</v>
      </c>
      <c r="C31" s="47" t="str">
        <f>"0912-7LEK-C"&amp;A31&amp;"-"&amp;UPPER(LEFT(B31,1))&amp;"O"</f>
        <v>0912-7LEK-C9.2-LO</v>
      </c>
      <c r="D31" s="115"/>
      <c r="E31" s="115">
        <v>4</v>
      </c>
      <c r="F31" s="115"/>
      <c r="G31" s="140"/>
      <c r="H31" s="140"/>
      <c r="I31" s="140"/>
      <c r="J31" s="140"/>
      <c r="K31" s="140"/>
      <c r="L31" s="140"/>
      <c r="M31" s="140"/>
      <c r="N31" s="140"/>
      <c r="O31" s="140"/>
      <c r="P31" s="138"/>
      <c r="Q31" s="138"/>
      <c r="R31" s="138">
        <v>90</v>
      </c>
      <c r="S31" s="138"/>
      <c r="T31" s="138"/>
      <c r="U31" s="138"/>
      <c r="V31" s="138"/>
      <c r="W31" s="138"/>
      <c r="X31" s="138">
        <v>3</v>
      </c>
      <c r="Y31" s="50">
        <f>SUM(Z31:AC31)</f>
        <v>90</v>
      </c>
      <c r="Z31" s="50">
        <f>SUM(G31,P31)</f>
        <v>0</v>
      </c>
      <c r="AA31" s="50">
        <f>SUM(I31,R31)</f>
        <v>90</v>
      </c>
      <c r="AB31" s="50">
        <f>SUM(K31,T31)</f>
        <v>0</v>
      </c>
      <c r="AC31" s="50">
        <f>SUM(M31,V31)</f>
        <v>0</v>
      </c>
      <c r="AD31" s="50">
        <f>SUM(G31:N31,P31:W31)</f>
        <v>90</v>
      </c>
      <c r="AE31" s="50">
        <f>SUM(O31,X31)</f>
        <v>3</v>
      </c>
    </row>
    <row r="32" spans="1:31" ht="20.25" customHeight="1">
      <c r="A32" s="169">
        <v>9.3000000000000007</v>
      </c>
      <c r="B32" s="61" t="s">
        <v>85</v>
      </c>
      <c r="C32" s="47" t="str">
        <f>"0912-7LEK-C"&amp;A32&amp;"-"&amp;UPPER(LEFT(B32,1))&amp;"D"</f>
        <v>0912-7LEK-C9.3-PD</v>
      </c>
      <c r="D32" s="115"/>
      <c r="E32" s="115">
        <v>4</v>
      </c>
      <c r="F32" s="115"/>
      <c r="G32" s="140"/>
      <c r="H32" s="140"/>
      <c r="I32" s="140"/>
      <c r="J32" s="140"/>
      <c r="K32" s="140"/>
      <c r="L32" s="140"/>
      <c r="M32" s="140"/>
      <c r="N32" s="140"/>
      <c r="O32" s="140"/>
      <c r="P32" s="138"/>
      <c r="Q32" s="138"/>
      <c r="R32" s="138">
        <v>30</v>
      </c>
      <c r="S32" s="138"/>
      <c r="T32" s="138"/>
      <c r="U32" s="138"/>
      <c r="V32" s="138"/>
      <c r="W32" s="138"/>
      <c r="X32" s="138">
        <v>1</v>
      </c>
      <c r="Y32" s="50">
        <f>SUM(Z32:AC32)</f>
        <v>30</v>
      </c>
      <c r="Z32" s="50">
        <f>SUM(G32,P32)</f>
        <v>0</v>
      </c>
      <c r="AA32" s="50">
        <f>SUM(I32,R32)</f>
        <v>30</v>
      </c>
      <c r="AB32" s="50">
        <f>SUM(K32,T32)</f>
        <v>0</v>
      </c>
      <c r="AC32" s="50">
        <f>SUM(M32,V32)</f>
        <v>0</v>
      </c>
      <c r="AD32" s="50">
        <f>SUM(G32:N32,P32:W32)</f>
        <v>30</v>
      </c>
      <c r="AE32" s="50">
        <f>SUM(O32,X32)</f>
        <v>1</v>
      </c>
    </row>
    <row r="33" spans="1:31" ht="15.75">
      <c r="A33" s="474" t="s">
        <v>9</v>
      </c>
      <c r="B33" s="475"/>
      <c r="C33" s="475"/>
      <c r="D33" s="475"/>
      <c r="E33" s="475"/>
      <c r="F33" s="476"/>
      <c r="G33" s="58">
        <f t="shared" ref="G33:X33" si="10">SUM(G31:G32)</f>
        <v>0</v>
      </c>
      <c r="H33" s="188">
        <f t="shared" si="10"/>
        <v>0</v>
      </c>
      <c r="I33" s="58">
        <f t="shared" si="10"/>
        <v>0</v>
      </c>
      <c r="J33" s="188">
        <f t="shared" si="10"/>
        <v>0</v>
      </c>
      <c r="K33" s="58">
        <f t="shared" si="10"/>
        <v>0</v>
      </c>
      <c r="L33" s="188">
        <f t="shared" si="10"/>
        <v>0</v>
      </c>
      <c r="M33" s="58">
        <f t="shared" si="10"/>
        <v>0</v>
      </c>
      <c r="N33" s="188">
        <f t="shared" si="10"/>
        <v>0</v>
      </c>
      <c r="O33" s="58">
        <f t="shared" si="10"/>
        <v>0</v>
      </c>
      <c r="P33" s="58">
        <f t="shared" si="10"/>
        <v>0</v>
      </c>
      <c r="Q33" s="188">
        <f t="shared" si="10"/>
        <v>0</v>
      </c>
      <c r="R33" s="58">
        <f t="shared" si="10"/>
        <v>120</v>
      </c>
      <c r="S33" s="188">
        <f t="shared" si="10"/>
        <v>0</v>
      </c>
      <c r="T33" s="58">
        <f t="shared" si="10"/>
        <v>0</v>
      </c>
      <c r="U33" s="188">
        <f t="shared" si="10"/>
        <v>0</v>
      </c>
      <c r="V33" s="58">
        <f t="shared" si="10"/>
        <v>0</v>
      </c>
      <c r="W33" s="188">
        <f t="shared" si="10"/>
        <v>0</v>
      </c>
      <c r="X33" s="58">
        <f t="shared" si="10"/>
        <v>4</v>
      </c>
      <c r="Y33" s="58">
        <f>SUM(Y31:Y32)</f>
        <v>120</v>
      </c>
      <c r="Z33" s="58">
        <f>SUM(Z31:Z32)</f>
        <v>0</v>
      </c>
      <c r="AA33" s="58">
        <f t="shared" ref="AA33:AC33" si="11">SUM(AA31:AA32)</f>
        <v>120</v>
      </c>
      <c r="AB33" s="58">
        <f t="shared" si="11"/>
        <v>0</v>
      </c>
      <c r="AC33" s="58">
        <f t="shared" si="11"/>
        <v>0</v>
      </c>
      <c r="AD33" s="58">
        <f>SUM(AD31:AD32)</f>
        <v>120</v>
      </c>
      <c r="AE33" s="58">
        <f>SUM(AE31:AE32)</f>
        <v>4</v>
      </c>
    </row>
    <row r="34" spans="1:31" ht="15.75">
      <c r="A34" s="52" t="s">
        <v>31</v>
      </c>
      <c r="B34" s="53"/>
      <c r="C34" s="54"/>
      <c r="D34" s="118"/>
      <c r="E34" s="118"/>
      <c r="F34" s="118"/>
      <c r="G34" s="55"/>
      <c r="H34" s="55"/>
      <c r="I34" s="55"/>
      <c r="J34" s="55"/>
      <c r="K34" s="55"/>
      <c r="L34" s="55"/>
      <c r="M34" s="55"/>
      <c r="N34" s="55"/>
      <c r="O34" s="55"/>
      <c r="P34" s="55"/>
      <c r="Q34" s="55"/>
      <c r="R34" s="55"/>
      <c r="S34" s="55"/>
      <c r="T34" s="55"/>
      <c r="U34" s="55"/>
      <c r="V34" s="55"/>
      <c r="W34" s="55"/>
      <c r="X34" s="55"/>
      <c r="Y34" s="55"/>
      <c r="Z34" s="55"/>
      <c r="AA34" s="55"/>
      <c r="AB34" s="55"/>
      <c r="AC34" s="55"/>
      <c r="AD34" s="55"/>
      <c r="AE34" s="56"/>
    </row>
    <row r="35" spans="1:31" ht="22.5" customHeight="1">
      <c r="A35" s="173">
        <v>10.6</v>
      </c>
      <c r="B35" s="62" t="s">
        <v>109</v>
      </c>
      <c r="C35" s="47" t="str">
        <f>RAZEM!C99</f>
        <v>0912-7LEK-A10.6-WF</v>
      </c>
      <c r="D35" s="127"/>
      <c r="E35" s="128"/>
      <c r="F35" s="171" t="s">
        <v>124</v>
      </c>
      <c r="G35" s="140"/>
      <c r="H35" s="140"/>
      <c r="I35" s="140">
        <v>15</v>
      </c>
      <c r="J35" s="187"/>
      <c r="K35" s="140"/>
      <c r="L35" s="140"/>
      <c r="M35" s="140"/>
      <c r="N35" s="187"/>
      <c r="O35" s="140">
        <v>0</v>
      </c>
      <c r="P35" s="138"/>
      <c r="Q35" s="138"/>
      <c r="R35" s="138">
        <v>15</v>
      </c>
      <c r="S35" s="190"/>
      <c r="T35" s="138"/>
      <c r="U35" s="138"/>
      <c r="V35" s="138"/>
      <c r="W35" s="138"/>
      <c r="X35" s="138">
        <v>0</v>
      </c>
      <c r="Y35" s="116">
        <f>SUM(Z35:AC35)</f>
        <v>30</v>
      </c>
      <c r="Z35" s="116">
        <f>SUM(G35,P35)</f>
        <v>0</v>
      </c>
      <c r="AA35" s="116">
        <f>SUM(I35,R35)</f>
        <v>30</v>
      </c>
      <c r="AB35" s="116">
        <f>SUM(K35,T35)</f>
        <v>0</v>
      </c>
      <c r="AC35" s="116">
        <f>SUM(M35,V35)</f>
        <v>0</v>
      </c>
      <c r="AD35" s="116">
        <f>SUM(G35:N35,P35:W35)</f>
        <v>30</v>
      </c>
      <c r="AE35" s="116">
        <f>SUM(O35,X35)</f>
        <v>0</v>
      </c>
    </row>
    <row r="36" spans="1:31" ht="18" customHeight="1">
      <c r="A36" s="519" t="s">
        <v>269</v>
      </c>
      <c r="B36" s="521" t="s">
        <v>123</v>
      </c>
      <c r="C36" s="522"/>
      <c r="D36" s="125"/>
      <c r="E36" s="126">
        <v>3</v>
      </c>
      <c r="F36" s="125"/>
      <c r="G36" s="159"/>
      <c r="H36" s="158"/>
      <c r="I36" s="158">
        <v>30</v>
      </c>
      <c r="J36" s="191">
        <v>30</v>
      </c>
      <c r="K36" s="158"/>
      <c r="L36" s="158"/>
      <c r="M36" s="158"/>
      <c r="N36" s="191"/>
      <c r="O36" s="158">
        <v>2</v>
      </c>
      <c r="P36" s="162"/>
      <c r="Q36" s="162"/>
      <c r="R36" s="162"/>
      <c r="S36" s="192"/>
      <c r="T36" s="162"/>
      <c r="U36" s="162"/>
      <c r="V36" s="162"/>
      <c r="W36" s="162"/>
      <c r="X36" s="162"/>
      <c r="Y36" s="116">
        <f t="shared" ref="Y36:Y37" si="12">SUM(Z36:AC36)</f>
        <v>30</v>
      </c>
      <c r="Z36" s="116">
        <f>SUM(G36,P36)</f>
        <v>0</v>
      </c>
      <c r="AA36" s="116">
        <f>SUM(I36,R36)</f>
        <v>30</v>
      </c>
      <c r="AB36" s="116">
        <f>SUM(K36,T36)</f>
        <v>0</v>
      </c>
      <c r="AC36" s="116">
        <f>SUM(M36,V36)</f>
        <v>0</v>
      </c>
      <c r="AD36" s="116">
        <f>SUM(G36:N36,P36:W36)</f>
        <v>60</v>
      </c>
      <c r="AE36" s="116">
        <f>SUM(O36,X36)</f>
        <v>2</v>
      </c>
    </row>
    <row r="37" spans="1:31" ht="15.75">
      <c r="A37" s="520"/>
      <c r="B37" s="523"/>
      <c r="C37" s="524"/>
      <c r="D37" s="125"/>
      <c r="E37" s="126">
        <v>4</v>
      </c>
      <c r="F37" s="125"/>
      <c r="G37" s="159"/>
      <c r="H37" s="158"/>
      <c r="I37" s="158"/>
      <c r="J37" s="191"/>
      <c r="K37" s="158"/>
      <c r="L37" s="158"/>
      <c r="M37" s="158"/>
      <c r="N37" s="191"/>
      <c r="O37" s="158"/>
      <c r="P37" s="162"/>
      <c r="Q37" s="162"/>
      <c r="R37" s="162">
        <v>30</v>
      </c>
      <c r="S37" s="192">
        <v>30</v>
      </c>
      <c r="T37" s="162"/>
      <c r="U37" s="162"/>
      <c r="V37" s="162"/>
      <c r="W37" s="162"/>
      <c r="X37" s="162">
        <v>2</v>
      </c>
      <c r="Y37" s="116">
        <f t="shared" si="12"/>
        <v>30</v>
      </c>
      <c r="Z37" s="116">
        <f>SUM(G37,P37)</f>
        <v>0</v>
      </c>
      <c r="AA37" s="116">
        <f>SUM(I37,R37)</f>
        <v>30</v>
      </c>
      <c r="AB37" s="116">
        <f>SUM(K37,T37)</f>
        <v>0</v>
      </c>
      <c r="AC37" s="116">
        <f>SUM(M37,V37)</f>
        <v>0</v>
      </c>
      <c r="AD37" s="116">
        <f>SUM(G37:N37,P37:W37)</f>
        <v>60</v>
      </c>
      <c r="AE37" s="116">
        <f>SUM(O37,X37)</f>
        <v>2</v>
      </c>
    </row>
    <row r="38" spans="1:31" ht="15.75">
      <c r="A38" s="474" t="s">
        <v>9</v>
      </c>
      <c r="B38" s="475"/>
      <c r="C38" s="475"/>
      <c r="D38" s="475"/>
      <c r="E38" s="475"/>
      <c r="F38" s="476"/>
      <c r="G38" s="58">
        <f t="shared" ref="G38:AE38" si="13">SUM(G35:G37)</f>
        <v>0</v>
      </c>
      <c r="H38" s="188">
        <f t="shared" si="13"/>
        <v>0</v>
      </c>
      <c r="I38" s="58">
        <f t="shared" si="13"/>
        <v>45</v>
      </c>
      <c r="J38" s="188">
        <f t="shared" si="13"/>
        <v>30</v>
      </c>
      <c r="K38" s="58">
        <f t="shared" si="13"/>
        <v>0</v>
      </c>
      <c r="L38" s="188">
        <f t="shared" si="13"/>
        <v>0</v>
      </c>
      <c r="M38" s="58">
        <f t="shared" si="13"/>
        <v>0</v>
      </c>
      <c r="N38" s="188">
        <f t="shared" si="13"/>
        <v>0</v>
      </c>
      <c r="O38" s="58">
        <f t="shared" si="13"/>
        <v>2</v>
      </c>
      <c r="P38" s="58">
        <f t="shared" si="13"/>
        <v>0</v>
      </c>
      <c r="Q38" s="188">
        <f t="shared" si="13"/>
        <v>0</v>
      </c>
      <c r="R38" s="58">
        <f t="shared" si="13"/>
        <v>45</v>
      </c>
      <c r="S38" s="188">
        <f t="shared" si="13"/>
        <v>30</v>
      </c>
      <c r="T38" s="58">
        <f t="shared" si="13"/>
        <v>0</v>
      </c>
      <c r="U38" s="188">
        <f t="shared" si="13"/>
        <v>0</v>
      </c>
      <c r="V38" s="58">
        <f t="shared" si="13"/>
        <v>0</v>
      </c>
      <c r="W38" s="188">
        <f t="shared" si="13"/>
        <v>0</v>
      </c>
      <c r="X38" s="58">
        <f t="shared" si="13"/>
        <v>2</v>
      </c>
      <c r="Y38" s="58">
        <f t="shared" si="13"/>
        <v>90</v>
      </c>
      <c r="Z38" s="58">
        <f t="shared" si="13"/>
        <v>0</v>
      </c>
      <c r="AA38" s="58">
        <f t="shared" si="13"/>
        <v>90</v>
      </c>
      <c r="AB38" s="58">
        <f t="shared" si="13"/>
        <v>0</v>
      </c>
      <c r="AC38" s="58">
        <f t="shared" si="13"/>
        <v>0</v>
      </c>
      <c r="AD38" s="58">
        <f t="shared" si="13"/>
        <v>150</v>
      </c>
      <c r="AE38" s="58">
        <f t="shared" si="13"/>
        <v>4</v>
      </c>
    </row>
    <row r="39" spans="1:31" ht="15.75">
      <c r="A39" s="52" t="s">
        <v>117</v>
      </c>
      <c r="B39" s="53"/>
      <c r="C39" s="54"/>
      <c r="D39" s="53"/>
      <c r="E39" s="53"/>
      <c r="F39" s="53"/>
      <c r="G39" s="55"/>
      <c r="H39" s="55"/>
      <c r="I39" s="55"/>
      <c r="J39" s="55"/>
      <c r="K39" s="55"/>
      <c r="L39" s="55"/>
      <c r="M39" s="55"/>
      <c r="N39" s="55"/>
      <c r="O39" s="55"/>
      <c r="P39" s="55"/>
      <c r="Q39" s="55"/>
      <c r="R39" s="55"/>
      <c r="S39" s="55"/>
      <c r="T39" s="55"/>
      <c r="U39" s="55"/>
      <c r="V39" s="55"/>
      <c r="W39" s="55"/>
      <c r="X39" s="55"/>
      <c r="Y39" s="55"/>
      <c r="Z39" s="55"/>
      <c r="AA39" s="55"/>
      <c r="AB39" s="55"/>
      <c r="AC39" s="55"/>
      <c r="AD39" s="55"/>
      <c r="AE39" s="56"/>
    </row>
    <row r="40" spans="1:31" ht="15.75">
      <c r="A40" s="169" t="s">
        <v>147</v>
      </c>
      <c r="B40" s="477" t="s">
        <v>118</v>
      </c>
      <c r="C40" s="478"/>
      <c r="D40" s="48"/>
      <c r="E40" s="49">
        <v>3</v>
      </c>
      <c r="F40" s="49"/>
      <c r="G40" s="160">
        <v>15</v>
      </c>
      <c r="H40" s="160">
        <v>10</v>
      </c>
      <c r="I40" s="160"/>
      <c r="J40" s="187"/>
      <c r="K40" s="160"/>
      <c r="L40" s="187"/>
      <c r="M40" s="160"/>
      <c r="N40" s="187"/>
      <c r="O40" s="160">
        <v>1</v>
      </c>
      <c r="P40" s="163"/>
      <c r="Q40" s="190"/>
      <c r="R40" s="163"/>
      <c r="S40" s="190"/>
      <c r="T40" s="163"/>
      <c r="U40" s="190"/>
      <c r="V40" s="163"/>
      <c r="W40" s="190"/>
      <c r="X40" s="163"/>
      <c r="Y40" s="50">
        <f>SUM(Z40:AC40)</f>
        <v>15</v>
      </c>
      <c r="Z40" s="50">
        <f t="shared" ref="Z40:Z45" si="14">SUM(G40,P40)</f>
        <v>15</v>
      </c>
      <c r="AA40" s="50">
        <f t="shared" ref="AA40:AA45" si="15">SUM(I40,R40)</f>
        <v>0</v>
      </c>
      <c r="AB40" s="50">
        <f t="shared" ref="AB40:AB45" si="16">SUM(K40,T40)</f>
        <v>0</v>
      </c>
      <c r="AC40" s="50">
        <f t="shared" ref="AC40:AC45" si="17">SUM(M40,V40)</f>
        <v>0</v>
      </c>
      <c r="AD40" s="50">
        <f t="shared" ref="AD40:AD45" si="18">SUM(G40:N40,P40:W40)</f>
        <v>25</v>
      </c>
      <c r="AE40" s="50">
        <f t="shared" ref="AE40:AE45" si="19">SUM(O40,X40)</f>
        <v>1</v>
      </c>
    </row>
    <row r="41" spans="1:31" ht="15.75">
      <c r="A41" s="169" t="s">
        <v>148</v>
      </c>
      <c r="B41" s="477" t="s">
        <v>118</v>
      </c>
      <c r="C41" s="478"/>
      <c r="D41" s="127"/>
      <c r="E41" s="129">
        <v>3</v>
      </c>
      <c r="F41" s="129"/>
      <c r="G41" s="160">
        <v>15</v>
      </c>
      <c r="H41" s="187">
        <v>10</v>
      </c>
      <c r="I41" s="160"/>
      <c r="J41" s="187"/>
      <c r="K41" s="160"/>
      <c r="L41" s="187"/>
      <c r="M41" s="160"/>
      <c r="N41" s="187"/>
      <c r="O41" s="160">
        <v>1</v>
      </c>
      <c r="P41" s="163"/>
      <c r="Q41" s="190"/>
      <c r="R41" s="163"/>
      <c r="S41" s="190"/>
      <c r="T41" s="163"/>
      <c r="U41" s="190"/>
      <c r="V41" s="163"/>
      <c r="W41" s="190"/>
      <c r="X41" s="163"/>
      <c r="Y41" s="50">
        <f t="shared" ref="Y41:Y45" si="20">SUM(Z41:AC41)</f>
        <v>15</v>
      </c>
      <c r="Z41" s="50">
        <f t="shared" si="14"/>
        <v>15</v>
      </c>
      <c r="AA41" s="50">
        <f t="shared" si="15"/>
        <v>0</v>
      </c>
      <c r="AB41" s="50">
        <f t="shared" si="16"/>
        <v>0</v>
      </c>
      <c r="AC41" s="50">
        <f t="shared" si="17"/>
        <v>0</v>
      </c>
      <c r="AD41" s="50">
        <f t="shared" si="18"/>
        <v>25</v>
      </c>
      <c r="AE41" s="50">
        <f t="shared" si="19"/>
        <v>1</v>
      </c>
    </row>
    <row r="42" spans="1:31" ht="15.75">
      <c r="A42" s="169" t="s">
        <v>149</v>
      </c>
      <c r="B42" s="477" t="s">
        <v>118</v>
      </c>
      <c r="C42" s="478"/>
      <c r="D42" s="127"/>
      <c r="E42" s="129">
        <v>3</v>
      </c>
      <c r="F42" s="129"/>
      <c r="G42" s="160">
        <v>15</v>
      </c>
      <c r="H42" s="187">
        <v>10</v>
      </c>
      <c r="I42" s="160"/>
      <c r="J42" s="187"/>
      <c r="K42" s="160"/>
      <c r="L42" s="187"/>
      <c r="M42" s="160"/>
      <c r="N42" s="187"/>
      <c r="O42" s="160">
        <v>1</v>
      </c>
      <c r="P42" s="163"/>
      <c r="Q42" s="190"/>
      <c r="R42" s="163"/>
      <c r="S42" s="190"/>
      <c r="T42" s="163"/>
      <c r="U42" s="190"/>
      <c r="V42" s="163"/>
      <c r="W42" s="190"/>
      <c r="X42" s="163"/>
      <c r="Y42" s="50">
        <f t="shared" si="20"/>
        <v>15</v>
      </c>
      <c r="Z42" s="50">
        <f t="shared" si="14"/>
        <v>15</v>
      </c>
      <c r="AA42" s="50">
        <f t="shared" si="15"/>
        <v>0</v>
      </c>
      <c r="AB42" s="50">
        <f t="shared" si="16"/>
        <v>0</v>
      </c>
      <c r="AC42" s="50">
        <f t="shared" si="17"/>
        <v>0</v>
      </c>
      <c r="AD42" s="50">
        <f t="shared" si="18"/>
        <v>25</v>
      </c>
      <c r="AE42" s="50">
        <f t="shared" si="19"/>
        <v>1</v>
      </c>
    </row>
    <row r="43" spans="1:31" ht="15.75">
      <c r="A43" s="169" t="s">
        <v>146</v>
      </c>
      <c r="B43" s="477" t="s">
        <v>118</v>
      </c>
      <c r="C43" s="478"/>
      <c r="D43" s="48"/>
      <c r="E43" s="49">
        <v>4</v>
      </c>
      <c r="F43" s="49"/>
      <c r="G43" s="160"/>
      <c r="H43" s="187"/>
      <c r="I43" s="160"/>
      <c r="J43" s="187"/>
      <c r="K43" s="160"/>
      <c r="L43" s="187"/>
      <c r="M43" s="160"/>
      <c r="N43" s="187"/>
      <c r="O43" s="160"/>
      <c r="P43" s="163">
        <v>15</v>
      </c>
      <c r="Q43" s="190">
        <v>10</v>
      </c>
      <c r="R43" s="163"/>
      <c r="S43" s="190"/>
      <c r="T43" s="163"/>
      <c r="U43" s="190"/>
      <c r="V43" s="163"/>
      <c r="W43" s="190"/>
      <c r="X43" s="163">
        <v>1</v>
      </c>
      <c r="Y43" s="50">
        <f t="shared" si="20"/>
        <v>15</v>
      </c>
      <c r="Z43" s="50">
        <f t="shared" si="14"/>
        <v>15</v>
      </c>
      <c r="AA43" s="50">
        <f t="shared" si="15"/>
        <v>0</v>
      </c>
      <c r="AB43" s="50">
        <f t="shared" si="16"/>
        <v>0</v>
      </c>
      <c r="AC43" s="50">
        <f t="shared" si="17"/>
        <v>0</v>
      </c>
      <c r="AD43" s="50">
        <f t="shared" si="18"/>
        <v>25</v>
      </c>
      <c r="AE43" s="50">
        <f t="shared" si="19"/>
        <v>1</v>
      </c>
    </row>
    <row r="44" spans="1:31" ht="15.75">
      <c r="A44" s="169" t="s">
        <v>130</v>
      </c>
      <c r="B44" s="477" t="s">
        <v>118</v>
      </c>
      <c r="C44" s="478"/>
      <c r="D44" s="48"/>
      <c r="E44" s="49">
        <v>4</v>
      </c>
      <c r="F44" s="49"/>
      <c r="G44" s="160"/>
      <c r="H44" s="187"/>
      <c r="I44" s="160"/>
      <c r="J44" s="187"/>
      <c r="K44" s="160"/>
      <c r="L44" s="187"/>
      <c r="M44" s="160"/>
      <c r="N44" s="187"/>
      <c r="O44" s="160"/>
      <c r="P44" s="163">
        <v>15</v>
      </c>
      <c r="Q44" s="190">
        <v>10</v>
      </c>
      <c r="R44" s="163"/>
      <c r="S44" s="190"/>
      <c r="T44" s="163"/>
      <c r="U44" s="190"/>
      <c r="V44" s="163"/>
      <c r="W44" s="190"/>
      <c r="X44" s="163">
        <v>1</v>
      </c>
      <c r="Y44" s="50">
        <f t="shared" si="20"/>
        <v>15</v>
      </c>
      <c r="Z44" s="50">
        <f t="shared" si="14"/>
        <v>15</v>
      </c>
      <c r="AA44" s="50">
        <f t="shared" si="15"/>
        <v>0</v>
      </c>
      <c r="AB44" s="50">
        <f t="shared" si="16"/>
        <v>0</v>
      </c>
      <c r="AC44" s="50">
        <f t="shared" si="17"/>
        <v>0</v>
      </c>
      <c r="AD44" s="50">
        <f t="shared" si="18"/>
        <v>25</v>
      </c>
      <c r="AE44" s="50">
        <f t="shared" si="19"/>
        <v>1</v>
      </c>
    </row>
    <row r="45" spans="1:31" ht="15.75">
      <c r="A45" s="169" t="s">
        <v>133</v>
      </c>
      <c r="B45" s="477" t="s">
        <v>118</v>
      </c>
      <c r="C45" s="478"/>
      <c r="D45" s="48"/>
      <c r="E45" s="49">
        <v>4</v>
      </c>
      <c r="F45" s="49"/>
      <c r="G45" s="160"/>
      <c r="H45" s="187"/>
      <c r="I45" s="160"/>
      <c r="J45" s="187"/>
      <c r="K45" s="160"/>
      <c r="L45" s="187"/>
      <c r="M45" s="160"/>
      <c r="N45" s="187"/>
      <c r="O45" s="160"/>
      <c r="P45" s="163">
        <v>15</v>
      </c>
      <c r="Q45" s="190">
        <v>10</v>
      </c>
      <c r="R45" s="163"/>
      <c r="S45" s="190"/>
      <c r="T45" s="163"/>
      <c r="U45" s="190"/>
      <c r="V45" s="163"/>
      <c r="W45" s="190"/>
      <c r="X45" s="163">
        <v>1</v>
      </c>
      <c r="Y45" s="50">
        <f t="shared" si="20"/>
        <v>15</v>
      </c>
      <c r="Z45" s="50">
        <f t="shared" si="14"/>
        <v>15</v>
      </c>
      <c r="AA45" s="50">
        <f t="shared" si="15"/>
        <v>0</v>
      </c>
      <c r="AB45" s="50">
        <f t="shared" si="16"/>
        <v>0</v>
      </c>
      <c r="AC45" s="50">
        <f t="shared" si="17"/>
        <v>0</v>
      </c>
      <c r="AD45" s="50">
        <f t="shared" si="18"/>
        <v>25</v>
      </c>
      <c r="AE45" s="50">
        <f t="shared" si="19"/>
        <v>1</v>
      </c>
    </row>
    <row r="46" spans="1:31" ht="16.5" thickBot="1">
      <c r="A46" s="514" t="s">
        <v>9</v>
      </c>
      <c r="B46" s="515"/>
      <c r="C46" s="515"/>
      <c r="D46" s="515"/>
      <c r="E46" s="515"/>
      <c r="F46" s="516"/>
      <c r="G46" s="58">
        <f>SUM(G40:G45)</f>
        <v>45</v>
      </c>
      <c r="H46" s="188">
        <f>SUM(H40:H45)</f>
        <v>30</v>
      </c>
      <c r="I46" s="58">
        <f t="shared" ref="I46:AC46" si="21">SUM(I40:I45)</f>
        <v>0</v>
      </c>
      <c r="J46" s="188">
        <f t="shared" si="21"/>
        <v>0</v>
      </c>
      <c r="K46" s="58">
        <f t="shared" si="21"/>
        <v>0</v>
      </c>
      <c r="L46" s="188">
        <f t="shared" si="21"/>
        <v>0</v>
      </c>
      <c r="M46" s="58">
        <f t="shared" si="21"/>
        <v>0</v>
      </c>
      <c r="N46" s="188">
        <f t="shared" si="21"/>
        <v>0</v>
      </c>
      <c r="O46" s="58">
        <f t="shared" si="21"/>
        <v>3</v>
      </c>
      <c r="P46" s="58">
        <f t="shared" si="21"/>
        <v>45</v>
      </c>
      <c r="Q46" s="188">
        <f t="shared" si="21"/>
        <v>30</v>
      </c>
      <c r="R46" s="58">
        <f t="shared" si="21"/>
        <v>0</v>
      </c>
      <c r="S46" s="188">
        <f t="shared" si="21"/>
        <v>0</v>
      </c>
      <c r="T46" s="58">
        <f t="shared" si="21"/>
        <v>0</v>
      </c>
      <c r="U46" s="188">
        <f t="shared" si="21"/>
        <v>0</v>
      </c>
      <c r="V46" s="58">
        <f t="shared" si="21"/>
        <v>0</v>
      </c>
      <c r="W46" s="188">
        <f t="shared" si="21"/>
        <v>0</v>
      </c>
      <c r="X46" s="58">
        <f t="shared" si="21"/>
        <v>3</v>
      </c>
      <c r="Y46" s="58">
        <f t="shared" si="21"/>
        <v>90</v>
      </c>
      <c r="Z46" s="58">
        <f t="shared" si="21"/>
        <v>90</v>
      </c>
      <c r="AA46" s="58">
        <f t="shared" si="21"/>
        <v>0</v>
      </c>
      <c r="AB46" s="58">
        <f t="shared" si="21"/>
        <v>0</v>
      </c>
      <c r="AC46" s="58">
        <f t="shared" si="21"/>
        <v>0</v>
      </c>
      <c r="AD46" s="58">
        <f>SUM(AD40:AD45)</f>
        <v>150</v>
      </c>
      <c r="AE46" s="58">
        <f>SUM(AE40:AE45)</f>
        <v>6</v>
      </c>
    </row>
    <row r="47" spans="1:31" ht="26.25" customHeight="1" thickBot="1">
      <c r="A47" s="468" t="s">
        <v>21</v>
      </c>
      <c r="B47" s="469"/>
      <c r="C47" s="469"/>
      <c r="D47" s="469"/>
      <c r="E47" s="469"/>
      <c r="F47" s="470"/>
      <c r="G47" s="66">
        <f t="shared" ref="G47:AE47" si="22">SUM(G14,G20,G24,G29,G33,G38,G46)</f>
        <v>170</v>
      </c>
      <c r="H47" s="193">
        <f t="shared" si="22"/>
        <v>140</v>
      </c>
      <c r="I47" s="66">
        <f t="shared" si="22"/>
        <v>160</v>
      </c>
      <c r="J47" s="193">
        <f t="shared" si="22"/>
        <v>185</v>
      </c>
      <c r="K47" s="66">
        <f t="shared" si="22"/>
        <v>0</v>
      </c>
      <c r="L47" s="193">
        <f t="shared" si="22"/>
        <v>0</v>
      </c>
      <c r="M47" s="66">
        <f t="shared" si="22"/>
        <v>100</v>
      </c>
      <c r="N47" s="193">
        <f t="shared" si="22"/>
        <v>65</v>
      </c>
      <c r="O47" s="66">
        <f t="shared" si="22"/>
        <v>31.5</v>
      </c>
      <c r="P47" s="66">
        <f t="shared" si="22"/>
        <v>150</v>
      </c>
      <c r="Q47" s="193">
        <f t="shared" si="22"/>
        <v>100</v>
      </c>
      <c r="R47" s="66">
        <f t="shared" si="22"/>
        <v>280</v>
      </c>
      <c r="S47" s="193">
        <f t="shared" si="22"/>
        <v>175</v>
      </c>
      <c r="T47" s="66">
        <f t="shared" si="22"/>
        <v>0</v>
      </c>
      <c r="U47" s="193">
        <f t="shared" si="22"/>
        <v>0</v>
      </c>
      <c r="V47" s="66">
        <f t="shared" si="22"/>
        <v>80</v>
      </c>
      <c r="W47" s="193">
        <f t="shared" si="22"/>
        <v>30</v>
      </c>
      <c r="X47" s="66">
        <f t="shared" si="22"/>
        <v>30.5</v>
      </c>
      <c r="Y47" s="66">
        <f t="shared" si="22"/>
        <v>940</v>
      </c>
      <c r="Z47" s="66">
        <f t="shared" si="22"/>
        <v>320</v>
      </c>
      <c r="AA47" s="66">
        <f t="shared" si="22"/>
        <v>440</v>
      </c>
      <c r="AB47" s="66">
        <f t="shared" si="22"/>
        <v>0</v>
      </c>
      <c r="AC47" s="66">
        <f t="shared" si="22"/>
        <v>180</v>
      </c>
      <c r="AD47" s="66">
        <f t="shared" si="22"/>
        <v>1635</v>
      </c>
      <c r="AE47" s="66">
        <f t="shared" si="22"/>
        <v>62</v>
      </c>
    </row>
    <row r="48" spans="1:31">
      <c r="B48" s="19"/>
      <c r="C48" s="3"/>
    </row>
    <row r="49" spans="1:31" ht="18.75">
      <c r="A49" s="513" t="s">
        <v>306</v>
      </c>
      <c r="B49" s="513"/>
      <c r="C49" s="513"/>
      <c r="D49" s="513"/>
      <c r="E49" s="513"/>
      <c r="F49" s="513"/>
      <c r="G49" s="513"/>
      <c r="H49" s="513"/>
      <c r="I49" s="513"/>
      <c r="J49" s="513"/>
      <c r="K49" s="513"/>
      <c r="L49" s="513"/>
      <c r="M49" s="513"/>
      <c r="N49" s="513"/>
      <c r="O49" s="513"/>
      <c r="P49" s="513"/>
      <c r="Q49" s="513"/>
      <c r="R49" s="513"/>
      <c r="S49" s="513"/>
      <c r="T49" s="513"/>
      <c r="U49" s="513"/>
      <c r="V49" s="513"/>
      <c r="W49" s="513"/>
      <c r="X49" s="513"/>
      <c r="Y49" s="513"/>
      <c r="Z49" s="513"/>
      <c r="AA49" s="513"/>
      <c r="AB49" s="513"/>
      <c r="AC49" s="513"/>
      <c r="AD49" s="513"/>
      <c r="AE49" s="513"/>
    </row>
    <row r="50" spans="1:31" ht="7.5" customHeight="1"/>
    <row r="51" spans="1:31" ht="30" customHeight="1">
      <c r="A51" s="169" t="s">
        <v>149</v>
      </c>
      <c r="B51" s="63" t="s">
        <v>129</v>
      </c>
      <c r="C51" s="47" t="str">
        <f>"0912-7LEK-F-"&amp;A51&amp;"-"&amp;"EBM"</f>
        <v>0912-7LEK-F-7-EBM</v>
      </c>
      <c r="D51" s="127"/>
      <c r="E51" s="129">
        <v>3</v>
      </c>
      <c r="F51" s="129"/>
      <c r="G51" s="160">
        <v>15</v>
      </c>
      <c r="H51" s="160">
        <v>10</v>
      </c>
      <c r="I51" s="160"/>
      <c r="J51" s="187"/>
      <c r="K51" s="160"/>
      <c r="L51" s="160"/>
      <c r="M51" s="160"/>
      <c r="N51" s="160"/>
      <c r="O51" s="160">
        <v>1</v>
      </c>
      <c r="P51" s="163"/>
      <c r="Q51" s="190"/>
      <c r="R51" s="163"/>
      <c r="S51" s="190"/>
      <c r="T51" s="163"/>
      <c r="U51" s="163"/>
      <c r="V51" s="163"/>
      <c r="W51" s="163"/>
      <c r="X51" s="163"/>
      <c r="Y51" s="50">
        <f t="shared" ref="Y51:Y56" si="23">SUM(G51,I51,K51,M51,P51,R51,T51,V51)</f>
        <v>15</v>
      </c>
      <c r="Z51" s="50">
        <f t="shared" ref="Z51:Z56" si="24">SUM(G51,P51)</f>
        <v>15</v>
      </c>
      <c r="AA51" s="50">
        <f t="shared" ref="AA51:AA56" si="25">SUM(I51,R51)</f>
        <v>0</v>
      </c>
      <c r="AB51" s="50">
        <f t="shared" ref="AB51:AB56" si="26">SUM(K51,T51)</f>
        <v>0</v>
      </c>
      <c r="AC51" s="50">
        <f t="shared" ref="AC51:AC56" si="27">SUM(M51,V51)</f>
        <v>0</v>
      </c>
      <c r="AD51" s="50">
        <f t="shared" ref="AD51:AD56" si="28">SUM(G51:N51,P51:W51)</f>
        <v>25</v>
      </c>
      <c r="AE51" s="50">
        <f t="shared" ref="AE51:AE56" si="29">SUM(O51,X51)</f>
        <v>1</v>
      </c>
    </row>
    <row r="52" spans="1:31" ht="24" customHeight="1">
      <c r="A52" s="169" t="s">
        <v>146</v>
      </c>
      <c r="B52" s="63" t="s">
        <v>128</v>
      </c>
      <c r="C52" s="47" t="str">
        <f>"0912-7LEK-F-"&amp;A52&amp;"-"&amp;"GMO"</f>
        <v>0912-7LEK-F-8-GMO</v>
      </c>
      <c r="D52" s="127"/>
      <c r="E52" s="129">
        <v>3</v>
      </c>
      <c r="F52" s="129"/>
      <c r="G52" s="160">
        <v>15</v>
      </c>
      <c r="H52" s="160">
        <v>10</v>
      </c>
      <c r="I52" s="160"/>
      <c r="J52" s="187"/>
      <c r="K52" s="160"/>
      <c r="L52" s="160"/>
      <c r="M52" s="160"/>
      <c r="N52" s="160"/>
      <c r="O52" s="160">
        <v>1</v>
      </c>
      <c r="P52" s="163"/>
      <c r="Q52" s="190"/>
      <c r="R52" s="163"/>
      <c r="S52" s="190"/>
      <c r="T52" s="163"/>
      <c r="U52" s="163"/>
      <c r="V52" s="163"/>
      <c r="W52" s="163"/>
      <c r="X52" s="163"/>
      <c r="Y52" s="50">
        <f t="shared" si="23"/>
        <v>15</v>
      </c>
      <c r="Z52" s="50">
        <f t="shared" si="24"/>
        <v>15</v>
      </c>
      <c r="AA52" s="50">
        <f t="shared" si="25"/>
        <v>0</v>
      </c>
      <c r="AB52" s="50">
        <f t="shared" si="26"/>
        <v>0</v>
      </c>
      <c r="AC52" s="50">
        <f t="shared" si="27"/>
        <v>0</v>
      </c>
      <c r="AD52" s="50">
        <f t="shared" si="28"/>
        <v>25</v>
      </c>
      <c r="AE52" s="50">
        <f t="shared" si="29"/>
        <v>1</v>
      </c>
    </row>
    <row r="53" spans="1:31" ht="24" customHeight="1">
      <c r="A53" s="169" t="s">
        <v>130</v>
      </c>
      <c r="B53" s="63" t="s">
        <v>131</v>
      </c>
      <c r="C53" s="47" t="str">
        <f>"0912-7LEK-C"&amp;A53&amp;"-"&amp;UPPER(LEFT(B53,1))&amp;"S"</f>
        <v>0912-7LEK-C9-ZS</v>
      </c>
      <c r="D53" s="127"/>
      <c r="E53" s="129">
        <v>3</v>
      </c>
      <c r="F53" s="129"/>
      <c r="G53" s="160">
        <v>15</v>
      </c>
      <c r="H53" s="187">
        <v>10</v>
      </c>
      <c r="I53" s="160"/>
      <c r="J53" s="187"/>
      <c r="K53" s="160"/>
      <c r="L53" s="160"/>
      <c r="M53" s="160"/>
      <c r="N53" s="160"/>
      <c r="O53" s="160">
        <v>1</v>
      </c>
      <c r="P53" s="163"/>
      <c r="Q53" s="190"/>
      <c r="R53" s="163"/>
      <c r="S53" s="190"/>
      <c r="T53" s="163"/>
      <c r="U53" s="163"/>
      <c r="V53" s="163"/>
      <c r="W53" s="163"/>
      <c r="X53" s="163"/>
      <c r="Y53" s="50">
        <f t="shared" si="23"/>
        <v>15</v>
      </c>
      <c r="Z53" s="50">
        <f t="shared" si="24"/>
        <v>15</v>
      </c>
      <c r="AA53" s="50">
        <f t="shared" si="25"/>
        <v>0</v>
      </c>
      <c r="AB53" s="50">
        <f t="shared" si="26"/>
        <v>0</v>
      </c>
      <c r="AC53" s="50">
        <f t="shared" si="27"/>
        <v>0</v>
      </c>
      <c r="AD53" s="50">
        <f t="shared" si="28"/>
        <v>25</v>
      </c>
      <c r="AE53" s="50">
        <f t="shared" si="29"/>
        <v>1</v>
      </c>
    </row>
    <row r="54" spans="1:31" ht="33.75" customHeight="1">
      <c r="A54" s="169" t="s">
        <v>133</v>
      </c>
      <c r="B54" s="63" t="s">
        <v>132</v>
      </c>
      <c r="C54" s="47" t="str">
        <f>"0912-7LEK-C"&amp;A54&amp;"-"&amp;UPPER(LEFT(B54,1))&amp;"P"</f>
        <v>0912-7LEK-C10-MP</v>
      </c>
      <c r="D54" s="127"/>
      <c r="E54" s="129">
        <v>3</v>
      </c>
      <c r="F54" s="129"/>
      <c r="G54" s="160">
        <v>15</v>
      </c>
      <c r="H54" s="187">
        <v>10</v>
      </c>
      <c r="I54" s="160"/>
      <c r="J54" s="187"/>
      <c r="K54" s="160"/>
      <c r="L54" s="160"/>
      <c r="M54" s="160"/>
      <c r="N54" s="160"/>
      <c r="O54" s="160">
        <v>1</v>
      </c>
      <c r="P54" s="163"/>
      <c r="Q54" s="190"/>
      <c r="R54" s="163"/>
      <c r="S54" s="190"/>
      <c r="T54" s="163"/>
      <c r="U54" s="163"/>
      <c r="V54" s="163"/>
      <c r="W54" s="163"/>
      <c r="X54" s="163"/>
      <c r="Y54" s="50">
        <f t="shared" si="23"/>
        <v>15</v>
      </c>
      <c r="Z54" s="50">
        <f t="shared" si="24"/>
        <v>15</v>
      </c>
      <c r="AA54" s="50">
        <f t="shared" si="25"/>
        <v>0</v>
      </c>
      <c r="AB54" s="50">
        <f t="shared" si="26"/>
        <v>0</v>
      </c>
      <c r="AC54" s="50">
        <f t="shared" si="27"/>
        <v>0</v>
      </c>
      <c r="AD54" s="50">
        <f t="shared" si="28"/>
        <v>25</v>
      </c>
      <c r="AE54" s="50">
        <f t="shared" si="29"/>
        <v>1</v>
      </c>
    </row>
    <row r="55" spans="1:31" ht="21.75" customHeight="1">
      <c r="A55" s="169" t="s">
        <v>134</v>
      </c>
      <c r="B55" s="63" t="s">
        <v>179</v>
      </c>
      <c r="C55" s="47" t="str">
        <f>"0912-7LEK-C"&amp;A55&amp;"-"&amp;UPPER(LEFT(B55,1))&amp;"A"</f>
        <v>0912-7LEK-C11-RA</v>
      </c>
      <c r="D55" s="127"/>
      <c r="E55" s="129">
        <v>3</v>
      </c>
      <c r="F55" s="129"/>
      <c r="G55" s="160">
        <v>15</v>
      </c>
      <c r="H55" s="187">
        <v>10</v>
      </c>
      <c r="I55" s="160"/>
      <c r="J55" s="187"/>
      <c r="K55" s="160"/>
      <c r="L55" s="160"/>
      <c r="M55" s="160"/>
      <c r="N55" s="160"/>
      <c r="O55" s="160">
        <v>1</v>
      </c>
      <c r="P55" s="163"/>
      <c r="Q55" s="190"/>
      <c r="R55" s="163"/>
      <c r="S55" s="190"/>
      <c r="T55" s="163"/>
      <c r="U55" s="163"/>
      <c r="V55" s="163"/>
      <c r="W55" s="163"/>
      <c r="X55" s="163"/>
      <c r="Y55" s="50">
        <f t="shared" si="23"/>
        <v>15</v>
      </c>
      <c r="Z55" s="50">
        <f t="shared" si="24"/>
        <v>15</v>
      </c>
      <c r="AA55" s="50">
        <f t="shared" si="25"/>
        <v>0</v>
      </c>
      <c r="AB55" s="50">
        <f t="shared" si="26"/>
        <v>0</v>
      </c>
      <c r="AC55" s="50">
        <f t="shared" si="27"/>
        <v>0</v>
      </c>
      <c r="AD55" s="50">
        <f t="shared" si="28"/>
        <v>25</v>
      </c>
      <c r="AE55" s="50">
        <f t="shared" si="29"/>
        <v>1</v>
      </c>
    </row>
    <row r="56" spans="1:31" ht="21.75" customHeight="1">
      <c r="A56" s="169" t="s">
        <v>135</v>
      </c>
      <c r="B56" s="63" t="s">
        <v>189</v>
      </c>
      <c r="C56" s="47" t="str">
        <f>"0912-7LEK-C"&amp;A56&amp;"-"&amp;UPPER(LEFT(B56,1))&amp;"G"</f>
        <v>0912-7LEK-C12-IG</v>
      </c>
      <c r="D56" s="127"/>
      <c r="E56" s="129">
        <v>4</v>
      </c>
      <c r="F56" s="129"/>
      <c r="G56" s="160"/>
      <c r="H56" s="187"/>
      <c r="I56" s="160"/>
      <c r="J56" s="187"/>
      <c r="K56" s="160"/>
      <c r="L56" s="160"/>
      <c r="M56" s="160"/>
      <c r="N56" s="160"/>
      <c r="O56" s="160"/>
      <c r="P56" s="163"/>
      <c r="Q56" s="190"/>
      <c r="R56" s="163">
        <v>15</v>
      </c>
      <c r="S56" s="190">
        <v>10</v>
      </c>
      <c r="T56" s="163"/>
      <c r="U56" s="163"/>
      <c r="V56" s="163"/>
      <c r="W56" s="163"/>
      <c r="X56" s="163">
        <v>1</v>
      </c>
      <c r="Y56" s="50">
        <f t="shared" si="23"/>
        <v>15</v>
      </c>
      <c r="Z56" s="50">
        <f t="shared" si="24"/>
        <v>0</v>
      </c>
      <c r="AA56" s="50">
        <f t="shared" si="25"/>
        <v>15</v>
      </c>
      <c r="AB56" s="50">
        <f t="shared" si="26"/>
        <v>0</v>
      </c>
      <c r="AC56" s="50">
        <f t="shared" si="27"/>
        <v>0</v>
      </c>
      <c r="AD56" s="50">
        <f t="shared" si="28"/>
        <v>25</v>
      </c>
      <c r="AE56" s="50">
        <f t="shared" si="29"/>
        <v>1</v>
      </c>
    </row>
    <row r="57" spans="1:31" ht="21.75" customHeight="1">
      <c r="A57" s="169" t="s">
        <v>136</v>
      </c>
      <c r="B57" s="63" t="s">
        <v>137</v>
      </c>
      <c r="C57" s="47" t="str">
        <f>"0912-7LEK-F-"&amp;A57&amp;"-"&amp;UPPER(LEFT(B57,1))&amp;"I"</f>
        <v>0912-7LEK-F-13-KI</v>
      </c>
      <c r="D57" s="127"/>
      <c r="E57" s="129">
        <v>4</v>
      </c>
      <c r="F57" s="129"/>
      <c r="G57" s="160"/>
      <c r="H57" s="187"/>
      <c r="I57" s="160"/>
      <c r="J57" s="187"/>
      <c r="K57" s="160"/>
      <c r="L57" s="160"/>
      <c r="M57" s="160"/>
      <c r="N57" s="160"/>
      <c r="O57" s="160"/>
      <c r="P57" s="163"/>
      <c r="Q57" s="190"/>
      <c r="R57" s="163">
        <v>15</v>
      </c>
      <c r="S57" s="190">
        <v>10</v>
      </c>
      <c r="T57" s="163"/>
      <c r="U57" s="163"/>
      <c r="V57" s="163"/>
      <c r="W57" s="163"/>
      <c r="X57" s="163">
        <v>1</v>
      </c>
      <c r="Y57" s="50">
        <f t="shared" ref="Y57:Y60" si="30">SUM(G57,I57,K57,M57,P57,R57,T57,V57)</f>
        <v>15</v>
      </c>
      <c r="Z57" s="50">
        <f t="shared" ref="Z57:Z60" si="31">SUM(G57,P57)</f>
        <v>0</v>
      </c>
      <c r="AA57" s="50">
        <f t="shared" ref="AA57:AA60" si="32">SUM(I57,R57)</f>
        <v>15</v>
      </c>
      <c r="AB57" s="50">
        <f t="shared" ref="AB57:AB60" si="33">SUM(K57,T57)</f>
        <v>0</v>
      </c>
      <c r="AC57" s="50">
        <f t="shared" ref="AC57:AC60" si="34">SUM(M57,V57)</f>
        <v>0</v>
      </c>
      <c r="AD57" s="50">
        <f t="shared" ref="AD57:AD60" si="35">SUM(G57:N57,P57:W57)</f>
        <v>25</v>
      </c>
      <c r="AE57" s="50">
        <f t="shared" ref="AE57:AE60" si="36">SUM(O57,X57)</f>
        <v>1</v>
      </c>
    </row>
    <row r="58" spans="1:31" ht="21.75" customHeight="1">
      <c r="A58" s="169" t="s">
        <v>138</v>
      </c>
      <c r="B58" s="136" t="s">
        <v>139</v>
      </c>
      <c r="C58" s="47" t="str">
        <f>"0912-7LEK-F-"&amp;A58&amp;"-"&amp;UPPER(LEFT(B58,1))&amp;"f"</f>
        <v>0912-7LEK-F-14-Ef</v>
      </c>
      <c r="D58" s="127"/>
      <c r="E58" s="129">
        <v>4</v>
      </c>
      <c r="F58" s="129"/>
      <c r="G58" s="160"/>
      <c r="H58" s="187"/>
      <c r="I58" s="160"/>
      <c r="J58" s="187"/>
      <c r="K58" s="160"/>
      <c r="L58" s="160"/>
      <c r="M58" s="160"/>
      <c r="N58" s="160"/>
      <c r="O58" s="160"/>
      <c r="P58" s="163">
        <v>15</v>
      </c>
      <c r="Q58" s="190">
        <v>10</v>
      </c>
      <c r="R58" s="163"/>
      <c r="S58" s="190"/>
      <c r="T58" s="163"/>
      <c r="U58" s="163"/>
      <c r="V58" s="163"/>
      <c r="W58" s="163"/>
      <c r="X58" s="163">
        <v>1</v>
      </c>
      <c r="Y58" s="50">
        <f t="shared" si="30"/>
        <v>15</v>
      </c>
      <c r="Z58" s="50">
        <f t="shared" si="31"/>
        <v>15</v>
      </c>
      <c r="AA58" s="50">
        <f t="shared" si="32"/>
        <v>0</v>
      </c>
      <c r="AB58" s="50">
        <f t="shared" si="33"/>
        <v>0</v>
      </c>
      <c r="AC58" s="50">
        <f t="shared" si="34"/>
        <v>0</v>
      </c>
      <c r="AD58" s="50">
        <f t="shared" si="35"/>
        <v>25</v>
      </c>
      <c r="AE58" s="50">
        <f t="shared" si="36"/>
        <v>1</v>
      </c>
    </row>
    <row r="59" spans="1:31" ht="21.75" customHeight="1">
      <c r="A59" s="169" t="s">
        <v>142</v>
      </c>
      <c r="B59" s="136" t="s">
        <v>140</v>
      </c>
      <c r="C59" s="47" t="str">
        <f>"0912-7LEK-F-"&amp;A59&amp;"-"&amp;UPPER(LEFT(B59,1))&amp;"M"</f>
        <v>0912-7LEK-F-15-AM</v>
      </c>
      <c r="D59" s="127"/>
      <c r="E59" s="129">
        <v>4</v>
      </c>
      <c r="F59" s="129"/>
      <c r="G59" s="160"/>
      <c r="H59" s="187"/>
      <c r="I59" s="160"/>
      <c r="J59" s="187"/>
      <c r="K59" s="160"/>
      <c r="L59" s="160"/>
      <c r="M59" s="160"/>
      <c r="N59" s="160"/>
      <c r="O59" s="160"/>
      <c r="P59" s="163">
        <v>15</v>
      </c>
      <c r="Q59" s="190">
        <v>10</v>
      </c>
      <c r="R59" s="163"/>
      <c r="S59" s="190"/>
      <c r="T59" s="163"/>
      <c r="U59" s="163"/>
      <c r="V59" s="163"/>
      <c r="W59" s="163"/>
      <c r="X59" s="163">
        <v>1</v>
      </c>
      <c r="Y59" s="50">
        <f t="shared" si="30"/>
        <v>15</v>
      </c>
      <c r="Z59" s="50">
        <f t="shared" si="31"/>
        <v>15</v>
      </c>
      <c r="AA59" s="50">
        <f t="shared" si="32"/>
        <v>0</v>
      </c>
      <c r="AB59" s="50">
        <f t="shared" si="33"/>
        <v>0</v>
      </c>
      <c r="AC59" s="50">
        <f t="shared" si="34"/>
        <v>0</v>
      </c>
      <c r="AD59" s="50">
        <f t="shared" si="35"/>
        <v>25</v>
      </c>
      <c r="AE59" s="50">
        <f t="shared" si="36"/>
        <v>1</v>
      </c>
    </row>
    <row r="60" spans="1:31" ht="21.75" customHeight="1">
      <c r="A60" s="169" t="s">
        <v>143</v>
      </c>
      <c r="B60" s="136" t="s">
        <v>141</v>
      </c>
      <c r="C60" s="47" t="str">
        <f>"0912-7LEK-F-"&amp;A60&amp;"-"&amp;UPPER(LEFT(B60,1))&amp;"O"</f>
        <v>0912-7LEK-F-16-IO</v>
      </c>
      <c r="D60" s="127"/>
      <c r="E60" s="129">
        <v>4</v>
      </c>
      <c r="F60" s="129"/>
      <c r="G60" s="160"/>
      <c r="H60" s="187"/>
      <c r="I60" s="160"/>
      <c r="J60" s="187"/>
      <c r="K60" s="160"/>
      <c r="L60" s="160"/>
      <c r="M60" s="160"/>
      <c r="N60" s="160"/>
      <c r="O60" s="160"/>
      <c r="P60" s="163">
        <v>15</v>
      </c>
      <c r="Q60" s="190">
        <v>10</v>
      </c>
      <c r="R60" s="163"/>
      <c r="S60" s="190"/>
      <c r="T60" s="163"/>
      <c r="U60" s="163"/>
      <c r="V60" s="163"/>
      <c r="W60" s="163"/>
      <c r="X60" s="163">
        <v>1</v>
      </c>
      <c r="Y60" s="50">
        <f t="shared" si="30"/>
        <v>15</v>
      </c>
      <c r="Z60" s="50">
        <f t="shared" si="31"/>
        <v>15</v>
      </c>
      <c r="AA60" s="50">
        <f t="shared" si="32"/>
        <v>0</v>
      </c>
      <c r="AB60" s="50">
        <f t="shared" si="33"/>
        <v>0</v>
      </c>
      <c r="AC60" s="50">
        <f t="shared" si="34"/>
        <v>0</v>
      </c>
      <c r="AD60" s="50">
        <f t="shared" si="35"/>
        <v>25</v>
      </c>
      <c r="AE60" s="50">
        <f t="shared" si="36"/>
        <v>1</v>
      </c>
    </row>
    <row r="61" spans="1:31" ht="21" customHeight="1">
      <c r="A61" s="169" t="s">
        <v>144</v>
      </c>
      <c r="B61" s="136" t="s">
        <v>282</v>
      </c>
      <c r="C61" s="47" t="str">
        <f>"0912-7LEK-F-"&amp;A61&amp;"-"&amp;UPPER(LEFT(B61,1))&amp;"O"</f>
        <v>0912-7LEK-F-17-HO</v>
      </c>
      <c r="D61" s="319"/>
      <c r="E61" s="320">
        <v>4</v>
      </c>
      <c r="F61" s="320"/>
      <c r="G61" s="160"/>
      <c r="H61" s="187"/>
      <c r="I61" s="160"/>
      <c r="J61" s="187"/>
      <c r="K61" s="160"/>
      <c r="L61" s="160"/>
      <c r="M61" s="160"/>
      <c r="N61" s="160"/>
      <c r="O61" s="160"/>
      <c r="P61" s="163">
        <v>15</v>
      </c>
      <c r="Q61" s="190">
        <v>10</v>
      </c>
      <c r="R61" s="163"/>
      <c r="S61" s="190"/>
      <c r="T61" s="163"/>
      <c r="U61" s="163"/>
      <c r="V61" s="163"/>
      <c r="W61" s="163"/>
      <c r="X61" s="163">
        <v>1</v>
      </c>
      <c r="Y61" s="50">
        <f t="shared" ref="Y61" si="37">SUM(G61,I61,K61,M61,P61,R61,T61,V61)</f>
        <v>15</v>
      </c>
      <c r="Z61" s="50">
        <f t="shared" ref="Z61" si="38">SUM(G61,P61)</f>
        <v>15</v>
      </c>
      <c r="AA61" s="50">
        <f t="shared" ref="AA61" si="39">SUM(I61,R61)</f>
        <v>0</v>
      </c>
      <c r="AB61" s="50">
        <f t="shared" ref="AB61" si="40">SUM(K61,T61)</f>
        <v>0</v>
      </c>
      <c r="AC61" s="50">
        <f t="shared" ref="AC61" si="41">SUM(M61,V61)</f>
        <v>0</v>
      </c>
      <c r="AD61" s="50">
        <f t="shared" ref="AD61" si="42">SUM(G61:N61,P61:W61)</f>
        <v>25</v>
      </c>
      <c r="AE61" s="50">
        <f t="shared" ref="AE61" si="43">SUM(O61,X61)</f>
        <v>1</v>
      </c>
    </row>
    <row r="62" spans="1:31" ht="14.25" customHeight="1">
      <c r="A62" s="328"/>
      <c r="B62" s="329"/>
      <c r="C62" s="330"/>
      <c r="D62" s="331"/>
      <c r="E62" s="332"/>
      <c r="F62" s="332"/>
      <c r="G62" s="333"/>
      <c r="H62" s="334"/>
      <c r="I62" s="333"/>
      <c r="J62" s="334"/>
      <c r="K62" s="333"/>
      <c r="L62" s="333"/>
      <c r="M62" s="333"/>
      <c r="N62" s="333"/>
      <c r="O62" s="333"/>
      <c r="P62" s="335"/>
      <c r="Q62" s="336"/>
      <c r="R62" s="335"/>
      <c r="S62" s="336"/>
      <c r="T62" s="335"/>
      <c r="U62" s="335"/>
      <c r="V62" s="335"/>
      <c r="W62" s="335"/>
      <c r="X62" s="335"/>
      <c r="Y62" s="164"/>
      <c r="Z62" s="164"/>
      <c r="AA62" s="164"/>
      <c r="AB62" s="164"/>
      <c r="AC62" s="164"/>
      <c r="AD62" s="164"/>
      <c r="AE62" s="164"/>
    </row>
    <row r="63" spans="1:31" ht="15.75">
      <c r="A63" s="512" t="s">
        <v>125</v>
      </c>
      <c r="B63" s="512"/>
      <c r="C63" s="512"/>
      <c r="D63" s="512"/>
      <c r="E63" s="512"/>
      <c r="F63" s="512"/>
      <c r="G63" s="512"/>
      <c r="H63" s="512"/>
      <c r="I63" s="512"/>
      <c r="J63" s="512"/>
      <c r="K63" s="512"/>
      <c r="L63" s="512"/>
      <c r="M63" s="512"/>
      <c r="N63" s="512"/>
      <c r="O63" s="512"/>
      <c r="P63" s="512"/>
      <c r="Q63" s="512"/>
      <c r="R63" s="512"/>
      <c r="S63" s="512"/>
      <c r="T63" s="512"/>
      <c r="U63" s="512"/>
      <c r="V63" s="512"/>
      <c r="W63" s="512"/>
      <c r="X63" s="512"/>
      <c r="Y63" s="512"/>
      <c r="Z63" s="512"/>
      <c r="AA63" s="512"/>
      <c r="AB63" s="512"/>
      <c r="AC63" s="512"/>
      <c r="AD63" s="512"/>
      <c r="AE63" s="512"/>
    </row>
    <row r="64" spans="1:31" ht="19.5" customHeight="1">
      <c r="A64" s="169" t="s">
        <v>269</v>
      </c>
      <c r="B64" s="124" t="s">
        <v>188</v>
      </c>
      <c r="C64" s="47" t="str">
        <f>"0912-7LEK-A"&amp;A64&amp;"-"&amp;UPPER(LEFT(B64,1))&amp;""</f>
        <v>0912-7LEK-A10.7-R</v>
      </c>
      <c r="D64" s="182"/>
      <c r="E64" s="171" t="s">
        <v>198</v>
      </c>
      <c r="F64" s="199"/>
      <c r="G64" s="140"/>
      <c r="H64" s="140"/>
      <c r="I64" s="140">
        <v>30</v>
      </c>
      <c r="J64" s="187">
        <v>30</v>
      </c>
      <c r="K64" s="140"/>
      <c r="L64" s="140"/>
      <c r="M64" s="140"/>
      <c r="N64" s="140"/>
      <c r="O64" s="140">
        <v>2</v>
      </c>
      <c r="P64" s="164"/>
      <c r="Q64" s="164"/>
      <c r="R64" s="164"/>
      <c r="S64" s="164"/>
      <c r="T64" s="164"/>
      <c r="U64" s="164"/>
      <c r="V64" s="164"/>
      <c r="W64" s="164"/>
      <c r="X64" s="164"/>
      <c r="Y64" s="164"/>
      <c r="Z64" s="164"/>
      <c r="AA64" s="164"/>
      <c r="AB64" s="164"/>
      <c r="AC64" s="164"/>
      <c r="AD64" s="164"/>
      <c r="AE64" s="164"/>
    </row>
    <row r="65" spans="1:31" ht="19.5" customHeight="1">
      <c r="A65" s="169" t="s">
        <v>270</v>
      </c>
      <c r="B65" s="124" t="s">
        <v>207</v>
      </c>
      <c r="C65" s="47" t="str">
        <f>"0912-7LEK-A"&amp;A65&amp;"-"&amp;UPPER(LEFT(B65,1))&amp;""</f>
        <v>0912-7LEK-A10.8-M</v>
      </c>
      <c r="D65" s="182"/>
      <c r="E65" s="171" t="s">
        <v>198</v>
      </c>
      <c r="F65" s="183"/>
      <c r="G65" s="140"/>
      <c r="H65" s="140"/>
      <c r="I65" s="140">
        <v>30</v>
      </c>
      <c r="J65" s="187">
        <v>30</v>
      </c>
      <c r="K65" s="140"/>
      <c r="L65" s="140"/>
      <c r="M65" s="140"/>
      <c r="N65" s="140"/>
      <c r="O65" s="140">
        <v>2</v>
      </c>
      <c r="P65" s="164"/>
      <c r="Q65" s="164"/>
      <c r="R65" s="164"/>
      <c r="S65" s="164"/>
      <c r="T65" s="164"/>
      <c r="U65" s="164"/>
      <c r="V65" s="164"/>
      <c r="W65" s="164"/>
      <c r="X65" s="164"/>
      <c r="Y65" s="164"/>
      <c r="Z65" s="164"/>
      <c r="AA65" s="164"/>
      <c r="AB65" s="164"/>
      <c r="AC65" s="164"/>
      <c r="AD65" s="164"/>
      <c r="AE65" s="164"/>
    </row>
    <row r="66" spans="1:31" ht="19.5" customHeight="1">
      <c r="A66" s="169" t="s">
        <v>271</v>
      </c>
      <c r="B66" s="124" t="s">
        <v>185</v>
      </c>
      <c r="C66" s="47" t="str">
        <f>"0912-7LEK-A"&amp;A66&amp;"-"&amp;UPPER(LEFT(B66,1))&amp;""</f>
        <v>0912-7LEK-A10.9-C</v>
      </c>
      <c r="D66" s="182"/>
      <c r="E66" s="171" t="s">
        <v>198</v>
      </c>
      <c r="F66" s="183"/>
      <c r="G66" s="140"/>
      <c r="H66" s="140"/>
      <c r="I66" s="140">
        <v>30</v>
      </c>
      <c r="J66" s="187">
        <v>30</v>
      </c>
      <c r="K66" s="140"/>
      <c r="L66" s="140"/>
      <c r="M66" s="140"/>
      <c r="N66" s="140"/>
      <c r="O66" s="140">
        <v>2</v>
      </c>
      <c r="P66" s="164"/>
      <c r="Q66" s="164"/>
      <c r="R66" s="164"/>
      <c r="S66" s="164"/>
      <c r="T66" s="164"/>
      <c r="U66" s="164"/>
      <c r="V66" s="164"/>
      <c r="W66" s="164"/>
      <c r="X66" s="164"/>
      <c r="Y66" s="164"/>
      <c r="Z66" s="164"/>
      <c r="AA66" s="164"/>
      <c r="AB66" s="164"/>
      <c r="AC66" s="164"/>
      <c r="AD66" s="164"/>
      <c r="AE66" s="164"/>
    </row>
    <row r="67" spans="1:31" ht="19.5" customHeight="1">
      <c r="A67" s="169" t="s">
        <v>272</v>
      </c>
      <c r="B67" s="124" t="s">
        <v>186</v>
      </c>
      <c r="C67" s="47" t="str">
        <f>"0912-7LEK-A"&amp;A67&amp;"-"&amp;UPPER(LEFT(B67,1))&amp;"RO"</f>
        <v>0912-7LEK-A10.10-PRO</v>
      </c>
      <c r="D67" s="182"/>
      <c r="E67" s="171" t="s">
        <v>198</v>
      </c>
      <c r="F67" s="183"/>
      <c r="G67" s="140"/>
      <c r="H67" s="140"/>
      <c r="I67" s="140">
        <v>30</v>
      </c>
      <c r="J67" s="187">
        <v>30</v>
      </c>
      <c r="K67" s="140"/>
      <c r="L67" s="140"/>
      <c r="M67" s="140"/>
      <c r="N67" s="140"/>
      <c r="O67" s="140">
        <v>2</v>
      </c>
      <c r="P67" s="164"/>
      <c r="Q67" s="164"/>
      <c r="R67" s="164"/>
      <c r="S67" s="164"/>
      <c r="T67" s="164"/>
      <c r="U67" s="164"/>
      <c r="V67" s="164"/>
      <c r="W67" s="164"/>
      <c r="X67" s="164"/>
      <c r="Y67" s="164"/>
      <c r="Z67" s="164"/>
      <c r="AA67" s="164"/>
      <c r="AB67" s="164"/>
      <c r="AC67" s="164"/>
      <c r="AD67" s="164"/>
      <c r="AE67" s="164"/>
    </row>
    <row r="68" spans="1:31" ht="19.5" customHeight="1">
      <c r="A68" s="169" t="s">
        <v>273</v>
      </c>
      <c r="B68" s="124" t="s">
        <v>187</v>
      </c>
      <c r="C68" s="47" t="str">
        <f t="shared" ref="C68" si="44">"0912-7LEK-A"&amp;A68&amp;"-"&amp;UPPER(LEFT(B68,1))&amp;"A"</f>
        <v>0912-7LEK-A10.11-ZA</v>
      </c>
      <c r="D68" s="200"/>
      <c r="E68" s="171" t="s">
        <v>198</v>
      </c>
      <c r="F68" s="200"/>
      <c r="G68" s="140"/>
      <c r="H68" s="140"/>
      <c r="I68" s="140">
        <v>30</v>
      </c>
      <c r="J68" s="187">
        <v>30</v>
      </c>
      <c r="K68" s="140"/>
      <c r="L68" s="140"/>
      <c r="M68" s="140"/>
      <c r="N68" s="140"/>
      <c r="O68" s="140">
        <v>2</v>
      </c>
    </row>
    <row r="70" spans="1:31" ht="18.75">
      <c r="O70" s="20" t="s">
        <v>127</v>
      </c>
    </row>
  </sheetData>
  <mergeCells count="51">
    <mergeCell ref="A24:F24"/>
    <mergeCell ref="A1:AE1"/>
    <mergeCell ref="A5:F5"/>
    <mergeCell ref="G5:AE5"/>
    <mergeCell ref="A6:A9"/>
    <mergeCell ref="B6:B9"/>
    <mergeCell ref="C6:C9"/>
    <mergeCell ref="D6:F7"/>
    <mergeCell ref="AE6:AE9"/>
    <mergeCell ref="G7:O7"/>
    <mergeCell ref="P7:X7"/>
    <mergeCell ref="P8:Q8"/>
    <mergeCell ref="D8:D9"/>
    <mergeCell ref="E8:E9"/>
    <mergeCell ref="F8:F9"/>
    <mergeCell ref="Y6:Y9"/>
    <mergeCell ref="AB6:AB9"/>
    <mergeCell ref="A38:F38"/>
    <mergeCell ref="Z6:Z9"/>
    <mergeCell ref="AA6:AA9"/>
    <mergeCell ref="T8:U8"/>
    <mergeCell ref="R8:S8"/>
    <mergeCell ref="A33:F33"/>
    <mergeCell ref="A29:F29"/>
    <mergeCell ref="A20:F20"/>
    <mergeCell ref="A36:A37"/>
    <mergeCell ref="B36:C37"/>
    <mergeCell ref="A21:AE21"/>
    <mergeCell ref="AC6:AC9"/>
    <mergeCell ref="V8:W8"/>
    <mergeCell ref="X8:X9"/>
    <mergeCell ref="AD6:AD9"/>
    <mergeCell ref="A14:F14"/>
    <mergeCell ref="A2:B2"/>
    <mergeCell ref="H2:P2"/>
    <mergeCell ref="A3:B3"/>
    <mergeCell ref="M8:N8"/>
    <mergeCell ref="G8:H8"/>
    <mergeCell ref="I8:J8"/>
    <mergeCell ref="K8:L8"/>
    <mergeCell ref="O8:O9"/>
    <mergeCell ref="A63:AE63"/>
    <mergeCell ref="B45:C45"/>
    <mergeCell ref="A49:AE49"/>
    <mergeCell ref="A47:F47"/>
    <mergeCell ref="A46:F46"/>
    <mergeCell ref="B44:C44"/>
    <mergeCell ref="B40:C40"/>
    <mergeCell ref="B41:C41"/>
    <mergeCell ref="B42:C42"/>
    <mergeCell ref="B43:C43"/>
  </mergeCells>
  <pageMargins left="0.23622047244094491" right="0.23622047244094491" top="0" bottom="0" header="0" footer="0"/>
  <pageSetup paperSize="9" scale="54" fitToHeight="0" orientation="landscape" r:id="rId1"/>
  <rowBreaks count="1" manualBreakCount="1">
    <brk id="47" max="30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68"/>
  <sheetViews>
    <sheetView zoomScale="80" zoomScaleNormal="80" zoomScaleSheetLayoutView="80" workbookViewId="0">
      <pane ySplit="9" topLeftCell="A10" activePane="bottomLeft" state="frozen"/>
      <selection pane="bottomLeft" activeCell="A14" sqref="A14:AE15"/>
    </sheetView>
  </sheetViews>
  <sheetFormatPr defaultRowHeight="15"/>
  <cols>
    <col min="1" max="1" width="7" customWidth="1"/>
    <col min="2" max="2" width="42.7109375" customWidth="1"/>
    <col min="3" max="3" width="27.28515625" customWidth="1"/>
    <col min="4" max="4" width="7.7109375" customWidth="1"/>
    <col min="5" max="5" width="11.5703125" customWidth="1"/>
    <col min="6" max="6" width="7.7109375" customWidth="1"/>
    <col min="7" max="24" width="6.5703125" customWidth="1"/>
    <col min="25" max="25" width="9.85546875" customWidth="1"/>
    <col min="26" max="29" width="6.7109375" customWidth="1"/>
    <col min="30" max="30" width="10.85546875" customWidth="1"/>
    <col min="31" max="31" width="8" customWidth="1"/>
  </cols>
  <sheetData>
    <row r="1" spans="1:31" s="41" customFormat="1" ht="36" customHeight="1">
      <c r="A1" s="498" t="s">
        <v>265</v>
      </c>
      <c r="B1" s="499"/>
      <c r="C1" s="499"/>
      <c r="D1" s="499"/>
      <c r="E1" s="499"/>
      <c r="F1" s="499"/>
      <c r="G1" s="499"/>
      <c r="H1" s="499"/>
      <c r="I1" s="499"/>
      <c r="J1" s="499"/>
      <c r="K1" s="499"/>
      <c r="L1" s="499"/>
      <c r="M1" s="499"/>
      <c r="N1" s="499"/>
      <c r="O1" s="499"/>
      <c r="P1" s="499"/>
      <c r="Q1" s="499"/>
      <c r="R1" s="499"/>
      <c r="S1" s="499"/>
      <c r="T1" s="499"/>
      <c r="U1" s="499"/>
      <c r="V1" s="499"/>
      <c r="W1" s="499"/>
      <c r="X1" s="499"/>
      <c r="Y1" s="499"/>
      <c r="Z1" s="499"/>
      <c r="AA1" s="499"/>
      <c r="AB1" s="499"/>
      <c r="AC1" s="499"/>
      <c r="AD1" s="499"/>
      <c r="AE1" s="107"/>
    </row>
    <row r="2" spans="1:31" s="41" customFormat="1" ht="36" customHeight="1">
      <c r="A2" s="509" t="s">
        <v>112</v>
      </c>
      <c r="B2" s="509"/>
      <c r="C2" s="144" t="s">
        <v>113</v>
      </c>
      <c r="E2" s="132"/>
      <c r="F2" s="132"/>
      <c r="G2" s="132"/>
      <c r="H2" s="511" t="s">
        <v>150</v>
      </c>
      <c r="I2" s="511"/>
      <c r="J2" s="511"/>
      <c r="K2" s="511"/>
      <c r="L2" s="511"/>
      <c r="M2" s="511"/>
      <c r="N2" s="511"/>
      <c r="O2" s="511"/>
      <c r="P2" s="511"/>
      <c r="Q2" s="131"/>
      <c r="R2" s="131"/>
      <c r="S2" s="131"/>
      <c r="T2" s="131"/>
      <c r="U2" s="131"/>
      <c r="V2" s="131"/>
      <c r="W2" s="131"/>
      <c r="X2" s="131"/>
      <c r="Y2" s="131"/>
      <c r="Z2" s="131"/>
      <c r="AA2" s="131"/>
      <c r="AB2" s="131"/>
      <c r="AC2" s="131"/>
      <c r="AD2" s="131"/>
      <c r="AE2" s="131"/>
    </row>
    <row r="3" spans="1:31" s="41" customFormat="1" ht="36" customHeight="1">
      <c r="A3" s="510" t="s">
        <v>111</v>
      </c>
      <c r="B3" s="510"/>
      <c r="C3" s="145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  <c r="Q3" s="131"/>
      <c r="R3" s="131"/>
      <c r="S3" s="131"/>
      <c r="T3" s="131"/>
      <c r="U3" s="131"/>
      <c r="V3" s="131"/>
      <c r="W3" s="131"/>
      <c r="X3" s="131"/>
      <c r="Y3" s="131"/>
      <c r="Z3" s="131"/>
      <c r="AA3" s="131"/>
      <c r="AB3" s="131"/>
      <c r="AC3" s="131"/>
      <c r="AD3" s="131"/>
      <c r="AE3" s="131"/>
    </row>
    <row r="4" spans="1:31" s="41" customFormat="1" ht="20.25" customHeight="1">
      <c r="A4" s="175"/>
      <c r="C4" s="146"/>
      <c r="D4" s="133"/>
      <c r="E4" s="134"/>
      <c r="F4" s="133"/>
      <c r="G4" s="134"/>
      <c r="H4" s="133"/>
      <c r="I4" s="134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  <c r="V4" s="106"/>
      <c r="W4" s="106"/>
      <c r="X4" s="106"/>
      <c r="Y4" s="106"/>
      <c r="Z4" s="106"/>
      <c r="AA4" s="106"/>
      <c r="AB4" s="106"/>
      <c r="AC4" s="106"/>
      <c r="AD4" s="106"/>
      <c r="AE4" s="106"/>
    </row>
    <row r="5" spans="1:31" ht="15" customHeight="1">
      <c r="A5" s="531"/>
      <c r="B5" s="532"/>
      <c r="C5" s="532"/>
      <c r="D5" s="532"/>
      <c r="E5" s="532"/>
      <c r="F5" s="533"/>
      <c r="G5" s="534" t="s">
        <v>103</v>
      </c>
      <c r="H5" s="534"/>
      <c r="I5" s="534"/>
      <c r="J5" s="534"/>
      <c r="K5" s="534"/>
      <c r="L5" s="534"/>
      <c r="M5" s="534"/>
      <c r="N5" s="534"/>
      <c r="O5" s="534"/>
      <c r="P5" s="534"/>
      <c r="Q5" s="534"/>
      <c r="R5" s="534"/>
      <c r="S5" s="534"/>
      <c r="T5" s="534"/>
      <c r="U5" s="534"/>
      <c r="V5" s="534"/>
      <c r="W5" s="534"/>
      <c r="X5" s="534"/>
      <c r="Y5" s="534"/>
      <c r="Z5" s="534"/>
      <c r="AA5" s="534"/>
      <c r="AB5" s="534"/>
      <c r="AC5" s="534"/>
      <c r="AD5" s="534"/>
      <c r="AE5" s="535"/>
    </row>
    <row r="6" spans="1:31" ht="15" customHeight="1">
      <c r="A6" s="483" t="s">
        <v>0</v>
      </c>
      <c r="B6" s="481" t="s">
        <v>4</v>
      </c>
      <c r="C6" s="481" t="s">
        <v>1</v>
      </c>
      <c r="D6" s="538" t="s">
        <v>8</v>
      </c>
      <c r="E6" s="538"/>
      <c r="F6" s="538"/>
      <c r="G6" s="542" t="s">
        <v>106</v>
      </c>
      <c r="H6" s="543"/>
      <c r="I6" s="543"/>
      <c r="J6" s="543"/>
      <c r="K6" s="543"/>
      <c r="L6" s="543"/>
      <c r="M6" s="543"/>
      <c r="N6" s="543"/>
      <c r="O6" s="543"/>
      <c r="P6" s="543"/>
      <c r="Q6" s="543"/>
      <c r="R6" s="543"/>
      <c r="S6" s="543"/>
      <c r="T6" s="543"/>
      <c r="U6" s="543"/>
      <c r="V6" s="543"/>
      <c r="W6" s="543"/>
      <c r="X6" s="544"/>
      <c r="Y6" s="487" t="s">
        <v>5</v>
      </c>
      <c r="Z6" s="487" t="s">
        <v>89</v>
      </c>
      <c r="AA6" s="487" t="s">
        <v>88</v>
      </c>
      <c r="AB6" s="487" t="s">
        <v>94</v>
      </c>
      <c r="AC6" s="487" t="s">
        <v>90</v>
      </c>
      <c r="AD6" s="487" t="s">
        <v>14</v>
      </c>
      <c r="AE6" s="487" t="s">
        <v>6</v>
      </c>
    </row>
    <row r="7" spans="1:31" ht="18.75" customHeight="1">
      <c r="A7" s="483"/>
      <c r="B7" s="481"/>
      <c r="C7" s="481"/>
      <c r="D7" s="538"/>
      <c r="E7" s="538"/>
      <c r="F7" s="538"/>
      <c r="G7" s="495" t="s">
        <v>97</v>
      </c>
      <c r="H7" s="496"/>
      <c r="I7" s="496"/>
      <c r="J7" s="496"/>
      <c r="K7" s="496"/>
      <c r="L7" s="496"/>
      <c r="M7" s="496"/>
      <c r="N7" s="496"/>
      <c r="O7" s="497"/>
      <c r="P7" s="490" t="s">
        <v>98</v>
      </c>
      <c r="Q7" s="506"/>
      <c r="R7" s="506"/>
      <c r="S7" s="506"/>
      <c r="T7" s="506"/>
      <c r="U7" s="506"/>
      <c r="V7" s="506"/>
      <c r="W7" s="506"/>
      <c r="X7" s="491"/>
      <c r="Y7" s="488"/>
      <c r="Z7" s="488"/>
      <c r="AA7" s="488"/>
      <c r="AB7" s="488"/>
      <c r="AC7" s="488"/>
      <c r="AD7" s="488"/>
      <c r="AE7" s="488"/>
    </row>
    <row r="8" spans="1:31" ht="21.75" customHeight="1">
      <c r="A8" s="484"/>
      <c r="B8" s="479"/>
      <c r="C8" s="479"/>
      <c r="D8" s="479" t="s">
        <v>2</v>
      </c>
      <c r="E8" s="479" t="s">
        <v>13</v>
      </c>
      <c r="F8" s="479" t="s">
        <v>12</v>
      </c>
      <c r="G8" s="495" t="s">
        <v>89</v>
      </c>
      <c r="H8" s="497"/>
      <c r="I8" s="495" t="s">
        <v>88</v>
      </c>
      <c r="J8" s="497"/>
      <c r="K8" s="495" t="s">
        <v>104</v>
      </c>
      <c r="L8" s="497"/>
      <c r="M8" s="495" t="s">
        <v>90</v>
      </c>
      <c r="N8" s="497"/>
      <c r="O8" s="507" t="s">
        <v>7</v>
      </c>
      <c r="P8" s="540" t="s">
        <v>89</v>
      </c>
      <c r="Q8" s="541"/>
      <c r="R8" s="540" t="s">
        <v>88</v>
      </c>
      <c r="S8" s="541"/>
      <c r="T8" s="540" t="s">
        <v>104</v>
      </c>
      <c r="U8" s="541"/>
      <c r="V8" s="540" t="s">
        <v>90</v>
      </c>
      <c r="W8" s="541"/>
      <c r="X8" s="492" t="s">
        <v>7</v>
      </c>
      <c r="Y8" s="488"/>
      <c r="Z8" s="488"/>
      <c r="AA8" s="488"/>
      <c r="AB8" s="488"/>
      <c r="AC8" s="488"/>
      <c r="AD8" s="488"/>
      <c r="AE8" s="488"/>
    </row>
    <row r="9" spans="1:31" ht="45" customHeight="1">
      <c r="A9" s="483"/>
      <c r="B9" s="481"/>
      <c r="C9" s="481"/>
      <c r="D9" s="539"/>
      <c r="E9" s="539"/>
      <c r="F9" s="539"/>
      <c r="G9" s="156" t="s">
        <v>15</v>
      </c>
      <c r="H9" s="156" t="s">
        <v>16</v>
      </c>
      <c r="I9" s="156" t="s">
        <v>15</v>
      </c>
      <c r="J9" s="156" t="s">
        <v>16</v>
      </c>
      <c r="K9" s="156" t="s">
        <v>15</v>
      </c>
      <c r="L9" s="156" t="s">
        <v>16</v>
      </c>
      <c r="M9" s="156" t="s">
        <v>15</v>
      </c>
      <c r="N9" s="156" t="s">
        <v>16</v>
      </c>
      <c r="O9" s="517"/>
      <c r="P9" s="161" t="s">
        <v>15</v>
      </c>
      <c r="Q9" s="161" t="s">
        <v>16</v>
      </c>
      <c r="R9" s="161" t="s">
        <v>15</v>
      </c>
      <c r="S9" s="161" t="s">
        <v>16</v>
      </c>
      <c r="T9" s="161" t="s">
        <v>15</v>
      </c>
      <c r="U9" s="161" t="s">
        <v>16</v>
      </c>
      <c r="V9" s="161" t="s">
        <v>15</v>
      </c>
      <c r="W9" s="161" t="s">
        <v>16</v>
      </c>
      <c r="X9" s="528"/>
      <c r="Y9" s="518"/>
      <c r="Z9" s="518"/>
      <c r="AA9" s="518"/>
      <c r="AB9" s="518"/>
      <c r="AC9" s="518"/>
      <c r="AD9" s="518"/>
      <c r="AE9" s="518"/>
    </row>
    <row r="10" spans="1:31" ht="15.75">
      <c r="A10" s="108" t="s">
        <v>23</v>
      </c>
      <c r="B10" s="109"/>
      <c r="C10" s="110"/>
      <c r="D10" s="109"/>
      <c r="E10" s="109"/>
      <c r="F10" s="109"/>
      <c r="G10" s="111"/>
      <c r="H10" s="111"/>
      <c r="I10" s="111"/>
      <c r="J10" s="111"/>
      <c r="K10" s="111"/>
      <c r="L10" s="111"/>
      <c r="M10" s="111"/>
      <c r="N10" s="111"/>
      <c r="O10" s="111"/>
      <c r="P10" s="111"/>
      <c r="Q10" s="111"/>
      <c r="R10" s="111"/>
      <c r="S10" s="111"/>
      <c r="T10" s="111"/>
      <c r="U10" s="111"/>
      <c r="V10" s="111"/>
      <c r="W10" s="111"/>
      <c r="X10" s="111"/>
      <c r="Y10" s="111"/>
      <c r="Z10" s="111"/>
      <c r="AA10" s="111"/>
      <c r="AB10" s="111"/>
      <c r="AC10" s="111"/>
      <c r="AD10" s="111"/>
      <c r="AE10" s="112"/>
    </row>
    <row r="11" spans="1:31" ht="24.75" customHeight="1">
      <c r="A11" s="449">
        <v>2.6</v>
      </c>
      <c r="B11" s="449" t="s">
        <v>324</v>
      </c>
      <c r="C11" s="450" t="str">
        <f>RAZEM!C15</f>
        <v>0912-7LEK-B2.6-P</v>
      </c>
      <c r="D11" s="451">
        <v>6</v>
      </c>
      <c r="E11" s="452" t="s">
        <v>276</v>
      </c>
      <c r="F11" s="453"/>
      <c r="G11" s="454">
        <v>20</v>
      </c>
      <c r="H11" s="455">
        <v>5</v>
      </c>
      <c r="I11" s="454">
        <v>30</v>
      </c>
      <c r="J11" s="455">
        <v>20</v>
      </c>
      <c r="K11" s="454"/>
      <c r="L11" s="456"/>
      <c r="M11" s="456"/>
      <c r="N11" s="456"/>
      <c r="O11" s="454">
        <v>3</v>
      </c>
      <c r="P11" s="457">
        <v>25</v>
      </c>
      <c r="Q11" s="458">
        <v>25</v>
      </c>
      <c r="R11" s="457">
        <v>30</v>
      </c>
      <c r="S11" s="458">
        <v>20</v>
      </c>
      <c r="T11" s="457"/>
      <c r="U11" s="458"/>
      <c r="V11" s="457"/>
      <c r="W11" s="458"/>
      <c r="X11" s="454">
        <v>4</v>
      </c>
      <c r="Y11" s="457">
        <v>105</v>
      </c>
      <c r="Z11" s="457">
        <f>SUM(G11,P11)</f>
        <v>45</v>
      </c>
      <c r="AA11" s="457">
        <f>SUM(I11,R11)</f>
        <v>60</v>
      </c>
      <c r="AB11" s="457">
        <f>SUM(K11,T11)</f>
        <v>0</v>
      </c>
      <c r="AC11" s="457">
        <f>SUM(M11,V11)</f>
        <v>0</v>
      </c>
      <c r="AD11" s="457">
        <f>SUM(G11:N11,P11:W11)</f>
        <v>175</v>
      </c>
      <c r="AE11" s="457">
        <f>SUM(O11,X11)</f>
        <v>7</v>
      </c>
    </row>
    <row r="12" spans="1:31" ht="15.75">
      <c r="A12" s="474" t="s">
        <v>9</v>
      </c>
      <c r="B12" s="475"/>
      <c r="C12" s="475"/>
      <c r="D12" s="475"/>
      <c r="E12" s="475"/>
      <c r="F12" s="476"/>
      <c r="G12" s="117">
        <f t="shared" ref="G12:AE12" si="0">SUM(G11)</f>
        <v>20</v>
      </c>
      <c r="H12" s="194">
        <f t="shared" si="0"/>
        <v>5</v>
      </c>
      <c r="I12" s="117">
        <f t="shared" si="0"/>
        <v>30</v>
      </c>
      <c r="J12" s="194">
        <f t="shared" si="0"/>
        <v>20</v>
      </c>
      <c r="K12" s="117">
        <f t="shared" si="0"/>
        <v>0</v>
      </c>
      <c r="L12" s="194">
        <f t="shared" si="0"/>
        <v>0</v>
      </c>
      <c r="M12" s="117">
        <f t="shared" si="0"/>
        <v>0</v>
      </c>
      <c r="N12" s="194">
        <f t="shared" si="0"/>
        <v>0</v>
      </c>
      <c r="O12" s="117">
        <f t="shared" si="0"/>
        <v>3</v>
      </c>
      <c r="P12" s="117">
        <f t="shared" si="0"/>
        <v>25</v>
      </c>
      <c r="Q12" s="194">
        <f t="shared" si="0"/>
        <v>25</v>
      </c>
      <c r="R12" s="117">
        <f t="shared" si="0"/>
        <v>30</v>
      </c>
      <c r="S12" s="194">
        <f t="shared" si="0"/>
        <v>20</v>
      </c>
      <c r="T12" s="117">
        <f t="shared" si="0"/>
        <v>0</v>
      </c>
      <c r="U12" s="194">
        <f t="shared" si="0"/>
        <v>0</v>
      </c>
      <c r="V12" s="117">
        <f t="shared" si="0"/>
        <v>0</v>
      </c>
      <c r="W12" s="194">
        <f t="shared" si="0"/>
        <v>0</v>
      </c>
      <c r="X12" s="117">
        <f t="shared" si="0"/>
        <v>4</v>
      </c>
      <c r="Y12" s="117">
        <f t="shared" si="0"/>
        <v>105</v>
      </c>
      <c r="Z12" s="117">
        <f t="shared" si="0"/>
        <v>45</v>
      </c>
      <c r="AA12" s="117">
        <f t="shared" si="0"/>
        <v>60</v>
      </c>
      <c r="AB12" s="117">
        <f t="shared" si="0"/>
        <v>0</v>
      </c>
      <c r="AC12" s="117">
        <f t="shared" si="0"/>
        <v>0</v>
      </c>
      <c r="AD12" s="117">
        <f t="shared" si="0"/>
        <v>175</v>
      </c>
      <c r="AE12" s="117">
        <f t="shared" si="0"/>
        <v>7</v>
      </c>
    </row>
    <row r="13" spans="1:31" ht="15.75">
      <c r="A13" s="52" t="s">
        <v>24</v>
      </c>
      <c r="B13" s="53"/>
      <c r="C13" s="54"/>
      <c r="D13" s="53"/>
      <c r="E13" s="118"/>
      <c r="F13" s="53"/>
      <c r="G13" s="55"/>
      <c r="H13" s="55"/>
      <c r="I13" s="55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5"/>
      <c r="W13" s="55"/>
      <c r="X13" s="55"/>
      <c r="Y13" s="55"/>
      <c r="Z13" s="55"/>
      <c r="AA13" s="55"/>
      <c r="AB13" s="55"/>
      <c r="AC13" s="55"/>
      <c r="AD13" s="55"/>
      <c r="AE13" s="56"/>
    </row>
    <row r="14" spans="1:31" ht="22.5" customHeight="1">
      <c r="A14" s="459">
        <v>3.5</v>
      </c>
      <c r="B14" s="449" t="s">
        <v>325</v>
      </c>
      <c r="C14" s="450" t="str">
        <f>RAZEM!C25</f>
        <v>0912-7LEK-C3.5-P</v>
      </c>
      <c r="D14" s="451">
        <v>6</v>
      </c>
      <c r="E14" s="452" t="s">
        <v>276</v>
      </c>
      <c r="F14" s="453"/>
      <c r="G14" s="454">
        <v>25</v>
      </c>
      <c r="H14" s="455">
        <v>50</v>
      </c>
      <c r="I14" s="454">
        <v>50</v>
      </c>
      <c r="J14" s="455">
        <v>50</v>
      </c>
      <c r="K14" s="454"/>
      <c r="L14" s="456"/>
      <c r="M14" s="456"/>
      <c r="N14" s="456"/>
      <c r="O14" s="454">
        <v>7</v>
      </c>
      <c r="P14" s="457">
        <v>25</v>
      </c>
      <c r="Q14" s="458">
        <v>45</v>
      </c>
      <c r="R14" s="457">
        <v>50</v>
      </c>
      <c r="S14" s="458">
        <v>30</v>
      </c>
      <c r="T14" s="457"/>
      <c r="U14" s="458"/>
      <c r="V14" s="457"/>
      <c r="W14" s="458"/>
      <c r="X14" s="454">
        <v>6</v>
      </c>
      <c r="Y14" s="457">
        <f>SUM(Z14:AC14)</f>
        <v>150</v>
      </c>
      <c r="Z14" s="457">
        <f>SUM(G14,P14)</f>
        <v>50</v>
      </c>
      <c r="AA14" s="457">
        <f>SUM(I14,R14)</f>
        <v>100</v>
      </c>
      <c r="AB14" s="457">
        <f>SUM(K14,T14)</f>
        <v>0</v>
      </c>
      <c r="AC14" s="457">
        <f>SUM(M14,V14)</f>
        <v>0</v>
      </c>
      <c r="AD14" s="457">
        <f>SUM(G14:N14,P14:W14)</f>
        <v>325</v>
      </c>
      <c r="AE14" s="457">
        <f>SUM(O14,X14)</f>
        <v>13</v>
      </c>
    </row>
    <row r="15" spans="1:31" ht="22.5" customHeight="1">
      <c r="A15" s="459">
        <v>3.6</v>
      </c>
      <c r="B15" s="449" t="s">
        <v>326</v>
      </c>
      <c r="C15" s="450" t="str">
        <f>RAZEM!C26</f>
        <v>0912-7LEK-C3.6-F</v>
      </c>
      <c r="D15" s="451">
        <v>6</v>
      </c>
      <c r="E15" s="452" t="s">
        <v>276</v>
      </c>
      <c r="F15" s="453"/>
      <c r="G15" s="454">
        <v>25</v>
      </c>
      <c r="H15" s="455">
        <v>50</v>
      </c>
      <c r="I15" s="454">
        <v>45</v>
      </c>
      <c r="J15" s="455">
        <v>30</v>
      </c>
      <c r="K15" s="454"/>
      <c r="L15" s="456"/>
      <c r="M15" s="456"/>
      <c r="N15" s="456"/>
      <c r="O15" s="454">
        <v>6</v>
      </c>
      <c r="P15" s="457">
        <v>25</v>
      </c>
      <c r="Q15" s="458">
        <v>50</v>
      </c>
      <c r="R15" s="457">
        <v>45</v>
      </c>
      <c r="S15" s="458">
        <v>30</v>
      </c>
      <c r="T15" s="457"/>
      <c r="U15" s="458"/>
      <c r="V15" s="457"/>
      <c r="W15" s="458"/>
      <c r="X15" s="454">
        <v>6</v>
      </c>
      <c r="Y15" s="457">
        <f>SUM(Z15:AC15)</f>
        <v>140</v>
      </c>
      <c r="Z15" s="457">
        <f>SUM(G15,P15)</f>
        <v>50</v>
      </c>
      <c r="AA15" s="457">
        <f>SUM(I15,R15)</f>
        <v>90</v>
      </c>
      <c r="AB15" s="457">
        <f>SUM(K15,T15)</f>
        <v>0</v>
      </c>
      <c r="AC15" s="457">
        <f>SUM(M15,V15)</f>
        <v>0</v>
      </c>
      <c r="AD15" s="457">
        <f>SUM(G15:N15,P15:W15)</f>
        <v>300</v>
      </c>
      <c r="AE15" s="457">
        <f>SUM(O15,X15)</f>
        <v>12</v>
      </c>
    </row>
    <row r="16" spans="1:31" ht="15.75">
      <c r="A16" s="474" t="s">
        <v>9</v>
      </c>
      <c r="B16" s="475"/>
      <c r="C16" s="475"/>
      <c r="D16" s="475"/>
      <c r="E16" s="475"/>
      <c r="F16" s="476"/>
      <c r="G16" s="58">
        <f t="shared" ref="G16:AE16" si="1">SUM(G14:G15)</f>
        <v>50</v>
      </c>
      <c r="H16" s="188">
        <f t="shared" si="1"/>
        <v>100</v>
      </c>
      <c r="I16" s="58">
        <f t="shared" si="1"/>
        <v>95</v>
      </c>
      <c r="J16" s="188">
        <f t="shared" si="1"/>
        <v>80</v>
      </c>
      <c r="K16" s="58">
        <f t="shared" si="1"/>
        <v>0</v>
      </c>
      <c r="L16" s="188">
        <f t="shared" si="1"/>
        <v>0</v>
      </c>
      <c r="M16" s="58">
        <f t="shared" si="1"/>
        <v>0</v>
      </c>
      <c r="N16" s="188">
        <f t="shared" si="1"/>
        <v>0</v>
      </c>
      <c r="O16" s="58">
        <f t="shared" si="1"/>
        <v>13</v>
      </c>
      <c r="P16" s="58">
        <f t="shared" si="1"/>
        <v>50</v>
      </c>
      <c r="Q16" s="188">
        <f t="shared" si="1"/>
        <v>95</v>
      </c>
      <c r="R16" s="58">
        <f t="shared" si="1"/>
        <v>95</v>
      </c>
      <c r="S16" s="188">
        <f t="shared" si="1"/>
        <v>60</v>
      </c>
      <c r="T16" s="58">
        <f t="shared" si="1"/>
        <v>0</v>
      </c>
      <c r="U16" s="188">
        <f t="shared" si="1"/>
        <v>0</v>
      </c>
      <c r="V16" s="58">
        <f t="shared" si="1"/>
        <v>0</v>
      </c>
      <c r="W16" s="188">
        <f t="shared" si="1"/>
        <v>0</v>
      </c>
      <c r="X16" s="404">
        <f t="shared" si="1"/>
        <v>12</v>
      </c>
      <c r="Y16" s="58">
        <f t="shared" si="1"/>
        <v>290</v>
      </c>
      <c r="Z16" s="58">
        <f t="shared" si="1"/>
        <v>100</v>
      </c>
      <c r="AA16" s="58">
        <f t="shared" si="1"/>
        <v>190</v>
      </c>
      <c r="AB16" s="58">
        <f t="shared" si="1"/>
        <v>0</v>
      </c>
      <c r="AC16" s="58">
        <f t="shared" si="1"/>
        <v>0</v>
      </c>
      <c r="AD16" s="58">
        <f t="shared" si="1"/>
        <v>625</v>
      </c>
      <c r="AE16" s="58">
        <f t="shared" si="1"/>
        <v>25</v>
      </c>
    </row>
    <row r="17" spans="1:31" ht="15.75">
      <c r="A17" s="52" t="s">
        <v>25</v>
      </c>
      <c r="B17" s="53"/>
      <c r="C17" s="54"/>
      <c r="D17" s="53"/>
      <c r="E17" s="118"/>
      <c r="F17" s="53"/>
      <c r="G17" s="55"/>
      <c r="H17" s="55"/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  <c r="V17" s="55"/>
      <c r="W17" s="55"/>
      <c r="X17" s="403"/>
      <c r="Y17" s="55"/>
      <c r="Z17" s="55"/>
      <c r="AA17" s="55"/>
      <c r="AB17" s="55"/>
      <c r="AC17" s="55"/>
      <c r="AD17" s="55"/>
      <c r="AE17" s="56"/>
    </row>
    <row r="18" spans="1:31" ht="33.75" customHeight="1">
      <c r="A18" s="59">
        <v>5.0999999999999996</v>
      </c>
      <c r="B18" s="103" t="s">
        <v>51</v>
      </c>
      <c r="C18" s="47" t="str">
        <f>RAZEM!C38</f>
        <v>0912-7LEK-C5.1-P</v>
      </c>
      <c r="D18" s="401">
        <v>12</v>
      </c>
      <c r="E18" s="406" t="s">
        <v>339</v>
      </c>
      <c r="F18" s="49"/>
      <c r="G18" s="395">
        <v>15</v>
      </c>
      <c r="H18" s="411">
        <v>5</v>
      </c>
      <c r="I18" s="395">
        <v>15</v>
      </c>
      <c r="J18" s="411">
        <v>15</v>
      </c>
      <c r="K18" s="395">
        <v>25</v>
      </c>
      <c r="L18" s="177"/>
      <c r="M18" s="177"/>
      <c r="N18" s="177"/>
      <c r="O18" s="395">
        <v>3</v>
      </c>
      <c r="P18" s="138"/>
      <c r="Q18" s="190"/>
      <c r="R18" s="138"/>
      <c r="S18" s="190"/>
      <c r="T18" s="138"/>
      <c r="U18" s="190"/>
      <c r="V18" s="138"/>
      <c r="W18" s="190"/>
      <c r="X18" s="394"/>
      <c r="Y18" s="50">
        <f>SUM(Z18:AC18)</f>
        <v>55</v>
      </c>
      <c r="Z18" s="50">
        <f>SUM(G18,P18)</f>
        <v>15</v>
      </c>
      <c r="AA18" s="50">
        <f>SUM(I18,R18)</f>
        <v>15</v>
      </c>
      <c r="AB18" s="50">
        <f>SUM(K18,T18)</f>
        <v>25</v>
      </c>
      <c r="AC18" s="50">
        <f>SUM(M18,V18)</f>
        <v>0</v>
      </c>
      <c r="AD18" s="50">
        <f>SUM(G18:N18,P18:W18)</f>
        <v>75</v>
      </c>
      <c r="AE18" s="50">
        <f>SUM(O18,X18)</f>
        <v>3</v>
      </c>
    </row>
    <row r="19" spans="1:31" ht="33.75" customHeight="1">
      <c r="A19" s="59">
        <v>5.2</v>
      </c>
      <c r="B19" s="405" t="s">
        <v>320</v>
      </c>
      <c r="C19" s="47" t="str">
        <f>RAZEM!C39</f>
        <v>0912-7LEK-C5.2-CW</v>
      </c>
      <c r="D19" s="401">
        <v>11</v>
      </c>
      <c r="E19" s="406" t="s">
        <v>321</v>
      </c>
      <c r="F19" s="384"/>
      <c r="G19" s="395"/>
      <c r="H19" s="411"/>
      <c r="I19" s="395"/>
      <c r="J19" s="411"/>
      <c r="K19" s="395"/>
      <c r="L19" s="177"/>
      <c r="M19" s="177"/>
      <c r="N19" s="177"/>
      <c r="O19" s="395"/>
      <c r="P19" s="394">
        <v>15</v>
      </c>
      <c r="Q19" s="412">
        <v>10</v>
      </c>
      <c r="R19" s="394">
        <v>10</v>
      </c>
      <c r="S19" s="412">
        <v>0</v>
      </c>
      <c r="T19" s="394">
        <v>15</v>
      </c>
      <c r="U19" s="348"/>
      <c r="V19" s="348"/>
      <c r="W19" s="348"/>
      <c r="X19" s="394">
        <v>2</v>
      </c>
      <c r="Y19" s="50">
        <f>SUM(Z19:AC19)</f>
        <v>40</v>
      </c>
      <c r="Z19" s="50">
        <f>G19+P19</f>
        <v>15</v>
      </c>
      <c r="AA19" s="50">
        <f>I19+R19</f>
        <v>10</v>
      </c>
      <c r="AB19" s="50">
        <f>K19+T19</f>
        <v>15</v>
      </c>
      <c r="AC19" s="50">
        <f>M19+V19</f>
        <v>0</v>
      </c>
      <c r="AD19" s="50">
        <f>SUM(G19:N19,P19:W19)</f>
        <v>50</v>
      </c>
      <c r="AE19" s="50">
        <f>O19+X19</f>
        <v>2</v>
      </c>
    </row>
    <row r="20" spans="1:31" ht="31.5" customHeight="1">
      <c r="A20" s="59" t="s">
        <v>319</v>
      </c>
      <c r="B20" s="405" t="s">
        <v>311</v>
      </c>
      <c r="C20" s="47" t="str">
        <f>RAZEM!C40</f>
        <v>0912-7LEK-C5.2a-CW</v>
      </c>
      <c r="D20" s="401">
        <v>11</v>
      </c>
      <c r="E20" s="406" t="s">
        <v>147</v>
      </c>
      <c r="F20" s="49"/>
      <c r="G20" s="395">
        <v>15</v>
      </c>
      <c r="H20" s="411">
        <v>5</v>
      </c>
      <c r="I20" s="395">
        <v>15</v>
      </c>
      <c r="J20" s="411">
        <v>15</v>
      </c>
      <c r="K20" s="395">
        <v>25</v>
      </c>
      <c r="L20" s="187"/>
      <c r="M20" s="140"/>
      <c r="N20" s="187"/>
      <c r="O20" s="395">
        <v>3</v>
      </c>
      <c r="P20" s="348"/>
      <c r="Q20" s="348"/>
      <c r="R20" s="348"/>
      <c r="S20" s="348"/>
      <c r="T20" s="348"/>
      <c r="U20" s="348"/>
      <c r="V20" s="348"/>
      <c r="W20" s="348"/>
      <c r="X20" s="394"/>
      <c r="Y20" s="50">
        <f t="shared" ref="Y20:Y22" si="2">SUM(Z20:AC20)</f>
        <v>55</v>
      </c>
      <c r="Z20" s="50">
        <f>SUM(G20,P20)</f>
        <v>15</v>
      </c>
      <c r="AA20" s="50">
        <f>SUM(I20,R20)</f>
        <v>15</v>
      </c>
      <c r="AB20" s="50">
        <f>SUM(K20,T20)</f>
        <v>25</v>
      </c>
      <c r="AC20" s="50">
        <f>SUM(M20,V20)</f>
        <v>0</v>
      </c>
      <c r="AD20" s="50">
        <f>SUM(G20:N20,P20:W20)</f>
        <v>75</v>
      </c>
      <c r="AE20" s="50">
        <f>SUM(O20,X20)</f>
        <v>3</v>
      </c>
    </row>
    <row r="21" spans="1:31" ht="31.5" customHeight="1">
      <c r="A21" s="59">
        <v>5.8</v>
      </c>
      <c r="B21" s="103" t="s">
        <v>57</v>
      </c>
      <c r="C21" s="47" t="str">
        <f>RAZEM!C46</f>
        <v>0912-7LEK-C5.8-DiW</v>
      </c>
      <c r="D21" s="119">
        <v>6</v>
      </c>
      <c r="E21" s="120">
        <v>6</v>
      </c>
      <c r="F21" s="120"/>
      <c r="G21" s="140"/>
      <c r="H21" s="187"/>
      <c r="I21" s="140"/>
      <c r="J21" s="187"/>
      <c r="K21" s="140"/>
      <c r="L21" s="187"/>
      <c r="M21" s="140"/>
      <c r="N21" s="187"/>
      <c r="O21" s="395"/>
      <c r="P21" s="138">
        <v>15</v>
      </c>
      <c r="Q21" s="190">
        <v>5</v>
      </c>
      <c r="R21" s="138">
        <v>15</v>
      </c>
      <c r="S21" s="190">
        <v>15</v>
      </c>
      <c r="T21" s="138">
        <v>25</v>
      </c>
      <c r="U21" s="190"/>
      <c r="V21" s="138"/>
      <c r="W21" s="190"/>
      <c r="X21" s="138">
        <v>3</v>
      </c>
      <c r="Y21" s="50">
        <f t="shared" si="2"/>
        <v>55</v>
      </c>
      <c r="Z21" s="50">
        <f>SUM(G21,P21)</f>
        <v>15</v>
      </c>
      <c r="AA21" s="50">
        <f>SUM(I21,R21)</f>
        <v>15</v>
      </c>
      <c r="AB21" s="50">
        <f>SUM(K21,T21)</f>
        <v>25</v>
      </c>
      <c r="AC21" s="50">
        <f>SUM(M21,V21)</f>
        <v>0</v>
      </c>
      <c r="AD21" s="50">
        <f>SUM(G21:N21,P21:W21)</f>
        <v>75</v>
      </c>
      <c r="AE21" s="50">
        <f>SUM(O21,X21)</f>
        <v>3</v>
      </c>
    </row>
    <row r="22" spans="1:31" ht="27.75" customHeight="1">
      <c r="A22" s="102">
        <v>5.1100000000000003</v>
      </c>
      <c r="B22" s="103" t="s">
        <v>60</v>
      </c>
      <c r="C22" s="47" t="str">
        <f>RAZEM!C49</f>
        <v>0912-7LEK-C5.11-DL</v>
      </c>
      <c r="D22" s="48">
        <v>5</v>
      </c>
      <c r="E22" s="49">
        <v>5</v>
      </c>
      <c r="F22" s="49"/>
      <c r="G22" s="140">
        <v>15</v>
      </c>
      <c r="H22" s="187">
        <v>15</v>
      </c>
      <c r="I22" s="140">
        <v>40</v>
      </c>
      <c r="J22" s="187">
        <v>30</v>
      </c>
      <c r="K22" s="140"/>
      <c r="L22" s="187"/>
      <c r="M22" s="140"/>
      <c r="N22" s="187"/>
      <c r="O22" s="140">
        <v>4</v>
      </c>
      <c r="P22" s="138"/>
      <c r="Q22" s="190"/>
      <c r="R22" s="138"/>
      <c r="S22" s="190"/>
      <c r="T22" s="138"/>
      <c r="U22" s="190"/>
      <c r="V22" s="138"/>
      <c r="W22" s="190"/>
      <c r="X22" s="138"/>
      <c r="Y22" s="50">
        <f t="shared" si="2"/>
        <v>55</v>
      </c>
      <c r="Z22" s="50">
        <f>SUM(G22,P22)</f>
        <v>15</v>
      </c>
      <c r="AA22" s="50">
        <f>SUM(I22,R22)</f>
        <v>40</v>
      </c>
      <c r="AB22" s="50">
        <f>SUM(K22,T22)</f>
        <v>0</v>
      </c>
      <c r="AC22" s="50">
        <f>SUM(M22,V22)</f>
        <v>0</v>
      </c>
      <c r="AD22" s="50">
        <f>SUM(G22:N22,P22:W22)</f>
        <v>100</v>
      </c>
      <c r="AE22" s="50">
        <f>SUM(O22,X22)</f>
        <v>4</v>
      </c>
    </row>
    <row r="23" spans="1:31" ht="15.75">
      <c r="A23" s="474" t="s">
        <v>9</v>
      </c>
      <c r="B23" s="475"/>
      <c r="C23" s="475"/>
      <c r="D23" s="475"/>
      <c r="E23" s="475"/>
      <c r="F23" s="476"/>
      <c r="G23" s="58">
        <f t="shared" ref="G23:AE23" si="3">SUM(G18:G22)</f>
        <v>45</v>
      </c>
      <c r="H23" s="188">
        <f t="shared" si="3"/>
        <v>25</v>
      </c>
      <c r="I23" s="58">
        <f t="shared" si="3"/>
        <v>70</v>
      </c>
      <c r="J23" s="188">
        <f t="shared" si="3"/>
        <v>60</v>
      </c>
      <c r="K23" s="58">
        <f t="shared" si="3"/>
        <v>50</v>
      </c>
      <c r="L23" s="188">
        <f t="shared" si="3"/>
        <v>0</v>
      </c>
      <c r="M23" s="58">
        <f t="shared" si="3"/>
        <v>0</v>
      </c>
      <c r="N23" s="188">
        <f t="shared" si="3"/>
        <v>0</v>
      </c>
      <c r="O23" s="58">
        <f t="shared" si="3"/>
        <v>10</v>
      </c>
      <c r="P23" s="58">
        <f t="shared" si="3"/>
        <v>30</v>
      </c>
      <c r="Q23" s="188">
        <f t="shared" si="3"/>
        <v>15</v>
      </c>
      <c r="R23" s="58">
        <f t="shared" si="3"/>
        <v>25</v>
      </c>
      <c r="S23" s="188">
        <f t="shared" si="3"/>
        <v>15</v>
      </c>
      <c r="T23" s="58">
        <f t="shared" si="3"/>
        <v>40</v>
      </c>
      <c r="U23" s="188">
        <f t="shared" si="3"/>
        <v>0</v>
      </c>
      <c r="V23" s="58">
        <f t="shared" si="3"/>
        <v>0</v>
      </c>
      <c r="W23" s="188">
        <f t="shared" si="3"/>
        <v>0</v>
      </c>
      <c r="X23" s="58">
        <f t="shared" si="3"/>
        <v>5</v>
      </c>
      <c r="Y23" s="58">
        <f t="shared" si="3"/>
        <v>260</v>
      </c>
      <c r="Z23" s="58">
        <f t="shared" si="3"/>
        <v>75</v>
      </c>
      <c r="AA23" s="58">
        <f t="shared" si="3"/>
        <v>95</v>
      </c>
      <c r="AB23" s="58">
        <f t="shared" si="3"/>
        <v>90</v>
      </c>
      <c r="AC23" s="58">
        <f t="shared" si="3"/>
        <v>0</v>
      </c>
      <c r="AD23" s="58">
        <f t="shared" si="3"/>
        <v>375</v>
      </c>
      <c r="AE23" s="58">
        <f t="shared" si="3"/>
        <v>15</v>
      </c>
    </row>
    <row r="24" spans="1:31" ht="15.75">
      <c r="A24" s="52" t="s">
        <v>26</v>
      </c>
      <c r="B24" s="53"/>
      <c r="C24" s="54"/>
      <c r="D24" s="53"/>
      <c r="E24" s="53"/>
      <c r="F24" s="53"/>
      <c r="G24" s="55"/>
      <c r="H24" s="55"/>
      <c r="I24" s="55"/>
      <c r="J24" s="55"/>
      <c r="K24" s="55"/>
      <c r="L24" s="55"/>
      <c r="M24" s="55"/>
      <c r="N24" s="55"/>
      <c r="O24" s="55"/>
      <c r="P24" s="55"/>
      <c r="Q24" s="55"/>
      <c r="R24" s="55"/>
      <c r="S24" s="55"/>
      <c r="T24" s="55"/>
      <c r="U24" s="55"/>
      <c r="V24" s="55"/>
      <c r="W24" s="55"/>
      <c r="X24" s="55"/>
      <c r="Y24" s="55"/>
      <c r="Z24" s="55"/>
      <c r="AA24" s="55"/>
      <c r="AB24" s="55"/>
      <c r="AC24" s="55"/>
      <c r="AD24" s="55"/>
      <c r="AE24" s="56"/>
    </row>
    <row r="25" spans="1:31" ht="30.75" customHeight="1">
      <c r="A25" s="59">
        <v>6.2</v>
      </c>
      <c r="B25" s="103" t="s">
        <v>63</v>
      </c>
      <c r="C25" s="47" t="str">
        <f>"0912-7LEK-C"&amp;A25&amp;"-"&amp;UPPER(LEFT(B25,1))</f>
        <v>0912-7LEK-C6.2-C</v>
      </c>
      <c r="D25" s="48">
        <v>12</v>
      </c>
      <c r="E25" s="171" t="s">
        <v>340</v>
      </c>
      <c r="F25" s="49"/>
      <c r="G25" s="140">
        <v>15</v>
      </c>
      <c r="H25" s="187">
        <v>5</v>
      </c>
      <c r="I25" s="140">
        <v>15</v>
      </c>
      <c r="J25" s="187">
        <v>15</v>
      </c>
      <c r="K25" s="140"/>
      <c r="L25" s="187"/>
      <c r="M25" s="140"/>
      <c r="N25" s="187"/>
      <c r="O25" s="140">
        <v>2</v>
      </c>
      <c r="P25" s="138">
        <v>15</v>
      </c>
      <c r="Q25" s="190">
        <v>5</v>
      </c>
      <c r="R25" s="138">
        <v>15</v>
      </c>
      <c r="S25" s="190">
        <v>15</v>
      </c>
      <c r="T25" s="138"/>
      <c r="U25" s="190"/>
      <c r="V25" s="138"/>
      <c r="W25" s="190"/>
      <c r="X25" s="138">
        <v>2</v>
      </c>
      <c r="Y25" s="50">
        <f>SUM(Z25:AC25)</f>
        <v>60</v>
      </c>
      <c r="Z25" s="50">
        <f>SUM(G25,P25)</f>
        <v>30</v>
      </c>
      <c r="AA25" s="50">
        <f>SUM(I25,R25)</f>
        <v>30</v>
      </c>
      <c r="AB25" s="50">
        <f>SUM(K25,T25)</f>
        <v>0</v>
      </c>
      <c r="AC25" s="50">
        <f>SUM(M25,V25)</f>
        <v>0</v>
      </c>
      <c r="AD25" s="50">
        <f>SUM(G25:N25,P25:W25)</f>
        <v>100</v>
      </c>
      <c r="AE25" s="50">
        <f>SUM(O25,X25)</f>
        <v>4</v>
      </c>
    </row>
    <row r="26" spans="1:31" ht="15.75">
      <c r="A26" s="474" t="s">
        <v>9</v>
      </c>
      <c r="B26" s="475"/>
      <c r="C26" s="475"/>
      <c r="D26" s="475"/>
      <c r="E26" s="475"/>
      <c r="F26" s="476"/>
      <c r="G26" s="58">
        <f t="shared" ref="G26:Q26" si="4">SUM(G25)</f>
        <v>15</v>
      </c>
      <c r="H26" s="188">
        <f t="shared" si="4"/>
        <v>5</v>
      </c>
      <c r="I26" s="58">
        <f t="shared" si="4"/>
        <v>15</v>
      </c>
      <c r="J26" s="188">
        <f t="shared" si="4"/>
        <v>15</v>
      </c>
      <c r="K26" s="58">
        <f t="shared" si="4"/>
        <v>0</v>
      </c>
      <c r="L26" s="188">
        <f t="shared" si="4"/>
        <v>0</v>
      </c>
      <c r="M26" s="58">
        <f t="shared" si="4"/>
        <v>0</v>
      </c>
      <c r="N26" s="188">
        <f t="shared" si="4"/>
        <v>0</v>
      </c>
      <c r="O26" s="58">
        <f t="shared" si="4"/>
        <v>2</v>
      </c>
      <c r="P26" s="58">
        <f t="shared" si="4"/>
        <v>15</v>
      </c>
      <c r="Q26" s="188">
        <f t="shared" si="4"/>
        <v>5</v>
      </c>
      <c r="R26" s="58">
        <f t="shared" ref="R26:X26" si="5">SUM(R25:R25)</f>
        <v>15</v>
      </c>
      <c r="S26" s="188">
        <f t="shared" si="5"/>
        <v>15</v>
      </c>
      <c r="T26" s="58">
        <f t="shared" si="5"/>
        <v>0</v>
      </c>
      <c r="U26" s="188">
        <f t="shared" si="5"/>
        <v>0</v>
      </c>
      <c r="V26" s="58">
        <f t="shared" si="5"/>
        <v>0</v>
      </c>
      <c r="W26" s="188">
        <f t="shared" si="5"/>
        <v>0</v>
      </c>
      <c r="X26" s="58">
        <f t="shared" si="5"/>
        <v>2</v>
      </c>
      <c r="Y26" s="58">
        <f>SUM(Y25:Y25)</f>
        <v>60</v>
      </c>
      <c r="Z26" s="58">
        <f t="shared" ref="Z26:AC26" si="6">SUM(Z25:Z25)</f>
        <v>30</v>
      </c>
      <c r="AA26" s="58">
        <f t="shared" si="6"/>
        <v>30</v>
      </c>
      <c r="AB26" s="58">
        <f t="shared" si="6"/>
        <v>0</v>
      </c>
      <c r="AC26" s="58">
        <f t="shared" si="6"/>
        <v>0</v>
      </c>
      <c r="AD26" s="58">
        <f>SUM(AD25)</f>
        <v>100</v>
      </c>
      <c r="AE26" s="58">
        <f>SUM(AE25)</f>
        <v>4</v>
      </c>
    </row>
    <row r="27" spans="1:31" ht="15.75">
      <c r="A27" s="52" t="s">
        <v>31</v>
      </c>
      <c r="B27" s="53"/>
      <c r="C27" s="54"/>
      <c r="D27" s="118"/>
      <c r="E27" s="118"/>
      <c r="F27" s="118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  <c r="U27" s="55"/>
      <c r="V27" s="55"/>
      <c r="W27" s="55"/>
      <c r="X27" s="55"/>
      <c r="Y27" s="55"/>
      <c r="Z27" s="55"/>
      <c r="AA27" s="55"/>
      <c r="AB27" s="55"/>
      <c r="AC27" s="55"/>
      <c r="AD27" s="55"/>
      <c r="AE27" s="56"/>
    </row>
    <row r="28" spans="1:31" ht="26.25" customHeight="1">
      <c r="A28" s="154">
        <v>10.6</v>
      </c>
      <c r="B28" s="62" t="s">
        <v>109</v>
      </c>
      <c r="C28" s="47" t="str">
        <f>"0912-7LEK-A"&amp;A28&amp;"-"&amp;UPPER(LEFT(B28,1))&amp;"F"</f>
        <v>0912-7LEK-A10.6-WF</v>
      </c>
      <c r="D28" s="127"/>
      <c r="E28" s="128"/>
      <c r="F28" s="171" t="s">
        <v>124</v>
      </c>
      <c r="G28" s="140"/>
      <c r="H28" s="187"/>
      <c r="I28" s="140">
        <v>15</v>
      </c>
      <c r="J28" s="187"/>
      <c r="K28" s="140"/>
      <c r="L28" s="187"/>
      <c r="M28" s="140"/>
      <c r="N28" s="187"/>
      <c r="O28" s="140">
        <v>0</v>
      </c>
      <c r="P28" s="138"/>
      <c r="Q28" s="190"/>
      <c r="R28" s="138">
        <v>15</v>
      </c>
      <c r="S28" s="190"/>
      <c r="T28" s="138"/>
      <c r="U28" s="190"/>
      <c r="V28" s="138"/>
      <c r="W28" s="190"/>
      <c r="X28" s="138">
        <v>0</v>
      </c>
      <c r="Y28" s="116">
        <f>SUM(G28,I28,K28,M28,P28,R28,T28,V28)</f>
        <v>30</v>
      </c>
      <c r="Z28" s="116">
        <f>SUM(G28,P28)</f>
        <v>0</v>
      </c>
      <c r="AA28" s="116">
        <f>SUM(I28,R28)</f>
        <v>30</v>
      </c>
      <c r="AB28" s="116">
        <f>SUM(K28,T28)</f>
        <v>0</v>
      </c>
      <c r="AC28" s="116">
        <f>SUM(M28,V28)</f>
        <v>0</v>
      </c>
      <c r="AD28" s="116">
        <f>SUM(G28:N28,P28:W28)</f>
        <v>30</v>
      </c>
      <c r="AE28" s="116">
        <f>SUM(O28,X28)</f>
        <v>0</v>
      </c>
    </row>
    <row r="29" spans="1:31" ht="15.75">
      <c r="A29" s="474" t="s">
        <v>9</v>
      </c>
      <c r="B29" s="475"/>
      <c r="C29" s="475"/>
      <c r="D29" s="475"/>
      <c r="E29" s="475"/>
      <c r="F29" s="476"/>
      <c r="G29" s="58">
        <f t="shared" ref="G29:X29" si="7">SUM(G28:G28)</f>
        <v>0</v>
      </c>
      <c r="H29" s="188">
        <f t="shared" si="7"/>
        <v>0</v>
      </c>
      <c r="I29" s="58">
        <f t="shared" si="7"/>
        <v>15</v>
      </c>
      <c r="J29" s="188">
        <f t="shared" si="7"/>
        <v>0</v>
      </c>
      <c r="K29" s="58">
        <f t="shared" si="7"/>
        <v>0</v>
      </c>
      <c r="L29" s="188">
        <f t="shared" si="7"/>
        <v>0</v>
      </c>
      <c r="M29" s="58">
        <f t="shared" si="7"/>
        <v>0</v>
      </c>
      <c r="N29" s="188">
        <f t="shared" si="7"/>
        <v>0</v>
      </c>
      <c r="O29" s="58">
        <f t="shared" si="7"/>
        <v>0</v>
      </c>
      <c r="P29" s="58">
        <f t="shared" si="7"/>
        <v>0</v>
      </c>
      <c r="Q29" s="188">
        <f t="shared" si="7"/>
        <v>0</v>
      </c>
      <c r="R29" s="58">
        <f t="shared" si="7"/>
        <v>15</v>
      </c>
      <c r="S29" s="188">
        <f t="shared" si="7"/>
        <v>0</v>
      </c>
      <c r="T29" s="58">
        <f t="shared" si="7"/>
        <v>0</v>
      </c>
      <c r="U29" s="188">
        <f t="shared" si="7"/>
        <v>0</v>
      </c>
      <c r="V29" s="58">
        <f t="shared" si="7"/>
        <v>0</v>
      </c>
      <c r="W29" s="188">
        <f t="shared" si="7"/>
        <v>0</v>
      </c>
      <c r="X29" s="58">
        <f t="shared" si="7"/>
        <v>0</v>
      </c>
      <c r="Y29" s="58">
        <f t="shared" ref="Y29:AE29" si="8">SUM(Y28:Y28)</f>
        <v>30</v>
      </c>
      <c r="Z29" s="58">
        <f t="shared" si="8"/>
        <v>0</v>
      </c>
      <c r="AA29" s="58">
        <f t="shared" si="8"/>
        <v>30</v>
      </c>
      <c r="AB29" s="58">
        <f t="shared" si="8"/>
        <v>0</v>
      </c>
      <c r="AC29" s="58">
        <f t="shared" si="8"/>
        <v>0</v>
      </c>
      <c r="AD29" s="58">
        <f t="shared" si="8"/>
        <v>30</v>
      </c>
      <c r="AE29" s="58">
        <f t="shared" si="8"/>
        <v>0</v>
      </c>
    </row>
    <row r="30" spans="1:31" ht="15.75">
      <c r="A30" s="52" t="s">
        <v>29</v>
      </c>
      <c r="B30" s="53"/>
      <c r="C30" s="54"/>
      <c r="D30" s="53"/>
      <c r="E30" s="53"/>
      <c r="F30" s="53"/>
      <c r="G30" s="55"/>
      <c r="H30" s="55"/>
      <c r="I30" s="55"/>
      <c r="J30" s="55"/>
      <c r="K30" s="55"/>
      <c r="L30" s="55"/>
      <c r="M30" s="55"/>
      <c r="N30" s="55"/>
      <c r="O30" s="55"/>
      <c r="P30" s="55"/>
      <c r="Q30" s="55"/>
      <c r="R30" s="55"/>
      <c r="S30" s="55"/>
      <c r="T30" s="55"/>
      <c r="U30" s="55"/>
      <c r="V30" s="55"/>
      <c r="W30" s="55"/>
      <c r="X30" s="55"/>
      <c r="Y30" s="55"/>
      <c r="Z30" s="55"/>
      <c r="AA30" s="55"/>
      <c r="AB30" s="55"/>
      <c r="AC30" s="55"/>
      <c r="AD30" s="55"/>
      <c r="AE30" s="56"/>
    </row>
    <row r="31" spans="1:31" ht="25.5" customHeight="1">
      <c r="A31" s="59">
        <v>9.4</v>
      </c>
      <c r="B31" s="61" t="s">
        <v>80</v>
      </c>
      <c r="C31" s="47" t="str">
        <f>"0912-7LEK-C"&amp;A31&amp;"-"&amp;UPPER(LEFT(B31,1))</f>
        <v>0912-7LEK-C9.4-C</v>
      </c>
      <c r="D31" s="48"/>
      <c r="E31" s="49">
        <v>6</v>
      </c>
      <c r="F31" s="49"/>
      <c r="G31" s="140"/>
      <c r="H31" s="187"/>
      <c r="I31" s="140"/>
      <c r="J31" s="187"/>
      <c r="K31" s="140"/>
      <c r="L31" s="187"/>
      <c r="M31" s="140"/>
      <c r="N31" s="187"/>
      <c r="O31" s="140"/>
      <c r="P31" s="138"/>
      <c r="Q31" s="190"/>
      <c r="R31" s="138">
        <v>120</v>
      </c>
      <c r="S31" s="190"/>
      <c r="T31" s="138"/>
      <c r="U31" s="190"/>
      <c r="V31" s="138"/>
      <c r="W31" s="190"/>
      <c r="X31" s="138">
        <v>4</v>
      </c>
      <c r="Y31" s="50">
        <f>SUM(Z31:AC31)</f>
        <v>120</v>
      </c>
      <c r="Z31" s="50">
        <f>SUM(G31,P31)</f>
        <v>0</v>
      </c>
      <c r="AA31" s="50">
        <f>SUM(I31,R31)</f>
        <v>120</v>
      </c>
      <c r="AB31" s="50">
        <f>SUM(K31,T31)</f>
        <v>0</v>
      </c>
      <c r="AC31" s="50">
        <f>SUM(M31,V31)</f>
        <v>0</v>
      </c>
      <c r="AD31" s="50">
        <f>SUM(G31:N31,P31:W31)</f>
        <v>120</v>
      </c>
      <c r="AE31" s="50">
        <f>SUM(O31,X31)</f>
        <v>4</v>
      </c>
    </row>
    <row r="32" spans="1:31" ht="15.75">
      <c r="A32" s="474" t="s">
        <v>9</v>
      </c>
      <c r="B32" s="475"/>
      <c r="C32" s="475"/>
      <c r="D32" s="475"/>
      <c r="E32" s="475"/>
      <c r="F32" s="476"/>
      <c r="G32" s="58">
        <f t="shared" ref="G32:X32" si="9">SUM(G31:G31)</f>
        <v>0</v>
      </c>
      <c r="H32" s="188">
        <f t="shared" si="9"/>
        <v>0</v>
      </c>
      <c r="I32" s="58">
        <f t="shared" si="9"/>
        <v>0</v>
      </c>
      <c r="J32" s="188">
        <f t="shared" si="9"/>
        <v>0</v>
      </c>
      <c r="K32" s="58">
        <f t="shared" si="9"/>
        <v>0</v>
      </c>
      <c r="L32" s="188">
        <f t="shared" si="9"/>
        <v>0</v>
      </c>
      <c r="M32" s="58">
        <f t="shared" si="9"/>
        <v>0</v>
      </c>
      <c r="N32" s="188">
        <f t="shared" si="9"/>
        <v>0</v>
      </c>
      <c r="O32" s="58">
        <f t="shared" si="9"/>
        <v>0</v>
      </c>
      <c r="P32" s="58">
        <f t="shared" si="9"/>
        <v>0</v>
      </c>
      <c r="Q32" s="188">
        <f t="shared" si="9"/>
        <v>0</v>
      </c>
      <c r="R32" s="58">
        <f t="shared" si="9"/>
        <v>120</v>
      </c>
      <c r="S32" s="188">
        <f t="shared" si="9"/>
        <v>0</v>
      </c>
      <c r="T32" s="58">
        <f t="shared" si="9"/>
        <v>0</v>
      </c>
      <c r="U32" s="188">
        <f t="shared" si="9"/>
        <v>0</v>
      </c>
      <c r="V32" s="58">
        <f t="shared" si="9"/>
        <v>0</v>
      </c>
      <c r="W32" s="188">
        <f t="shared" si="9"/>
        <v>0</v>
      </c>
      <c r="X32" s="58">
        <f t="shared" si="9"/>
        <v>4</v>
      </c>
      <c r="Y32" s="58">
        <f>SUM(Y31:Y31)</f>
        <v>120</v>
      </c>
      <c r="Z32" s="58">
        <f t="shared" ref="Z32:AE32" si="10">SUM(Z31:Z31)</f>
        <v>0</v>
      </c>
      <c r="AA32" s="58">
        <f t="shared" si="10"/>
        <v>120</v>
      </c>
      <c r="AB32" s="58">
        <f t="shared" si="10"/>
        <v>0</v>
      </c>
      <c r="AC32" s="58">
        <f t="shared" si="10"/>
        <v>0</v>
      </c>
      <c r="AD32" s="58">
        <f t="shared" si="10"/>
        <v>120</v>
      </c>
      <c r="AE32" s="58">
        <f t="shared" si="10"/>
        <v>4</v>
      </c>
    </row>
    <row r="33" spans="1:32" ht="21.75" customHeight="1">
      <c r="A33" s="52" t="s">
        <v>117</v>
      </c>
      <c r="B33" s="53"/>
      <c r="C33" s="54"/>
      <c r="D33" s="53"/>
      <c r="E33" s="53"/>
      <c r="F33" s="53"/>
      <c r="G33" s="55"/>
      <c r="H33" s="55"/>
      <c r="I33" s="55"/>
      <c r="J33" s="55"/>
      <c r="K33" s="55"/>
      <c r="L33" s="55"/>
      <c r="M33" s="55"/>
      <c r="N33" s="55"/>
      <c r="O33" s="55"/>
      <c r="P33" s="55"/>
      <c r="Q33" s="55"/>
      <c r="R33" s="55"/>
      <c r="S33" s="55"/>
      <c r="T33" s="55"/>
      <c r="U33" s="55"/>
      <c r="V33" s="55"/>
      <c r="W33" s="55"/>
      <c r="X33" s="55"/>
      <c r="Y33" s="55"/>
      <c r="Z33" s="55"/>
      <c r="AA33" s="55"/>
      <c r="AB33" s="55"/>
      <c r="AC33" s="55"/>
      <c r="AD33" s="55"/>
      <c r="AE33" s="56"/>
    </row>
    <row r="34" spans="1:32" ht="23.25" customHeight="1">
      <c r="A34" s="169">
        <v>11</v>
      </c>
      <c r="B34" s="546" t="s">
        <v>118</v>
      </c>
      <c r="C34" s="547"/>
      <c r="D34" s="48"/>
      <c r="E34" s="49">
        <v>5</v>
      </c>
      <c r="F34" s="49"/>
      <c r="G34" s="160">
        <v>15</v>
      </c>
      <c r="H34" s="187">
        <v>10</v>
      </c>
      <c r="I34" s="160"/>
      <c r="J34" s="187"/>
      <c r="K34" s="160"/>
      <c r="L34" s="187"/>
      <c r="M34" s="160"/>
      <c r="N34" s="187"/>
      <c r="O34" s="160">
        <v>1</v>
      </c>
      <c r="P34" s="163"/>
      <c r="Q34" s="190"/>
      <c r="R34" s="163"/>
      <c r="S34" s="190"/>
      <c r="T34" s="163"/>
      <c r="U34" s="190"/>
      <c r="V34" s="163"/>
      <c r="W34" s="190"/>
      <c r="X34" s="163"/>
      <c r="Y34" s="50">
        <f>SUM(Z34:AC34)</f>
        <v>15</v>
      </c>
      <c r="Z34" s="50">
        <f>SUM(G34,P34)</f>
        <v>15</v>
      </c>
      <c r="AA34" s="50">
        <f>SUM(I34,R34)</f>
        <v>0</v>
      </c>
      <c r="AB34" s="50">
        <f>SUM(K34,T34)</f>
        <v>0</v>
      </c>
      <c r="AC34" s="50">
        <f>SUM(M34,V34)</f>
        <v>0</v>
      </c>
      <c r="AD34" s="50">
        <f>SUM(G34:N34,P34:W34)</f>
        <v>25</v>
      </c>
      <c r="AE34" s="50">
        <f>SUM(O34,X34)</f>
        <v>1</v>
      </c>
    </row>
    <row r="35" spans="1:32" ht="23.25" customHeight="1">
      <c r="A35" s="169" t="s">
        <v>135</v>
      </c>
      <c r="B35" s="546" t="s">
        <v>118</v>
      </c>
      <c r="C35" s="547"/>
      <c r="D35" s="127"/>
      <c r="E35" s="129">
        <v>5</v>
      </c>
      <c r="F35" s="129"/>
      <c r="G35" s="160">
        <v>15</v>
      </c>
      <c r="H35" s="187">
        <v>10</v>
      </c>
      <c r="I35" s="160"/>
      <c r="J35" s="187"/>
      <c r="K35" s="160"/>
      <c r="L35" s="187"/>
      <c r="M35" s="160"/>
      <c r="N35" s="187"/>
      <c r="O35" s="160">
        <v>1</v>
      </c>
      <c r="P35" s="163"/>
      <c r="Q35" s="190"/>
      <c r="R35" s="163"/>
      <c r="S35" s="190"/>
      <c r="T35" s="163"/>
      <c r="U35" s="190"/>
      <c r="V35" s="163"/>
      <c r="W35" s="190"/>
      <c r="X35" s="163"/>
      <c r="Y35" s="50">
        <f t="shared" ref="Y35:Y38" si="11">SUM(Z35:AC35)</f>
        <v>15</v>
      </c>
      <c r="Z35" s="50">
        <f t="shared" ref="Z35:Z38" si="12">SUM(G35,P35)</f>
        <v>15</v>
      </c>
      <c r="AA35" s="50">
        <f t="shared" ref="AA35:AA38" si="13">SUM(I35,R35)</f>
        <v>0</v>
      </c>
      <c r="AB35" s="50">
        <f t="shared" ref="AB35:AB38" si="14">SUM(K35,T35)</f>
        <v>0</v>
      </c>
      <c r="AC35" s="50">
        <f t="shared" ref="AC35:AC38" si="15">SUM(M35,V35)</f>
        <v>0</v>
      </c>
      <c r="AD35" s="50">
        <f t="shared" ref="AD35:AD38" si="16">SUM(G35:N35,P35:W35)</f>
        <v>25</v>
      </c>
      <c r="AE35" s="50">
        <f t="shared" ref="AE35:AE38" si="17">SUM(O35,X35)</f>
        <v>1</v>
      </c>
    </row>
    <row r="36" spans="1:32" s="35" customFormat="1" ht="23.25" customHeight="1">
      <c r="A36" s="409" t="s">
        <v>136</v>
      </c>
      <c r="B36" s="555" t="s">
        <v>118</v>
      </c>
      <c r="C36" s="556"/>
      <c r="D36" s="401"/>
      <c r="E36" s="399">
        <v>5</v>
      </c>
      <c r="F36" s="357"/>
      <c r="G36" s="177"/>
      <c r="H36" s="177"/>
      <c r="I36" s="395">
        <v>15</v>
      </c>
      <c r="J36" s="395">
        <v>10</v>
      </c>
      <c r="K36" s="177"/>
      <c r="L36" s="177"/>
      <c r="M36" s="177"/>
      <c r="N36" s="177"/>
      <c r="O36" s="395">
        <v>1</v>
      </c>
      <c r="P36" s="348"/>
      <c r="Q36" s="348"/>
      <c r="R36" s="348"/>
      <c r="S36" s="348"/>
      <c r="T36" s="348"/>
      <c r="U36" s="348"/>
      <c r="V36" s="348"/>
      <c r="W36" s="348"/>
      <c r="X36" s="348"/>
      <c r="Y36" s="50">
        <f t="shared" si="11"/>
        <v>15</v>
      </c>
      <c r="Z36" s="402">
        <f t="shared" si="12"/>
        <v>0</v>
      </c>
      <c r="AA36" s="402">
        <f t="shared" si="13"/>
        <v>15</v>
      </c>
      <c r="AB36" s="402">
        <f t="shared" si="14"/>
        <v>0</v>
      </c>
      <c r="AC36" s="402">
        <f t="shared" si="15"/>
        <v>0</v>
      </c>
      <c r="AD36" s="402">
        <f t="shared" si="16"/>
        <v>25</v>
      </c>
      <c r="AE36" s="402">
        <f t="shared" si="17"/>
        <v>1</v>
      </c>
      <c r="AF36" s="410"/>
    </row>
    <row r="37" spans="1:32" ht="23.25" customHeight="1">
      <c r="A37" s="169" t="s">
        <v>138</v>
      </c>
      <c r="B37" s="546" t="s">
        <v>118</v>
      </c>
      <c r="C37" s="547"/>
      <c r="D37" s="48"/>
      <c r="E37" s="49">
        <v>6</v>
      </c>
      <c r="F37" s="49"/>
      <c r="G37" s="160"/>
      <c r="H37" s="187"/>
      <c r="I37" s="160"/>
      <c r="J37" s="187"/>
      <c r="K37" s="160"/>
      <c r="L37" s="187"/>
      <c r="M37" s="160"/>
      <c r="N37" s="187"/>
      <c r="O37" s="160"/>
      <c r="P37" s="163">
        <v>15</v>
      </c>
      <c r="Q37" s="190">
        <v>10</v>
      </c>
      <c r="R37" s="163"/>
      <c r="S37" s="190"/>
      <c r="T37" s="163"/>
      <c r="U37" s="190"/>
      <c r="V37" s="163"/>
      <c r="W37" s="190"/>
      <c r="X37" s="163">
        <v>1</v>
      </c>
      <c r="Y37" s="50">
        <f t="shared" si="11"/>
        <v>15</v>
      </c>
      <c r="Z37" s="50">
        <f t="shared" si="12"/>
        <v>15</v>
      </c>
      <c r="AA37" s="50">
        <f t="shared" si="13"/>
        <v>0</v>
      </c>
      <c r="AB37" s="50">
        <f t="shared" si="14"/>
        <v>0</v>
      </c>
      <c r="AC37" s="50">
        <f t="shared" si="15"/>
        <v>0</v>
      </c>
      <c r="AD37" s="50">
        <f t="shared" si="16"/>
        <v>25</v>
      </c>
      <c r="AE37" s="50">
        <f t="shared" si="17"/>
        <v>1</v>
      </c>
    </row>
    <row r="38" spans="1:32" ht="23.25" customHeight="1">
      <c r="A38" s="169" t="s">
        <v>142</v>
      </c>
      <c r="B38" s="546" t="s">
        <v>118</v>
      </c>
      <c r="C38" s="547"/>
      <c r="D38" s="48"/>
      <c r="E38" s="49">
        <v>6</v>
      </c>
      <c r="F38" s="49"/>
      <c r="G38" s="160"/>
      <c r="H38" s="187"/>
      <c r="I38" s="160"/>
      <c r="J38" s="187"/>
      <c r="K38" s="160"/>
      <c r="L38" s="187"/>
      <c r="M38" s="160"/>
      <c r="N38" s="187"/>
      <c r="O38" s="160"/>
      <c r="P38" s="163">
        <v>15</v>
      </c>
      <c r="Q38" s="190">
        <v>10</v>
      </c>
      <c r="R38" s="163"/>
      <c r="S38" s="190"/>
      <c r="T38" s="163"/>
      <c r="U38" s="190"/>
      <c r="V38" s="163"/>
      <c r="W38" s="190"/>
      <c r="X38" s="163">
        <v>1</v>
      </c>
      <c r="Y38" s="50">
        <f t="shared" si="11"/>
        <v>15</v>
      </c>
      <c r="Z38" s="50">
        <f t="shared" si="12"/>
        <v>15</v>
      </c>
      <c r="AA38" s="50">
        <f t="shared" si="13"/>
        <v>0</v>
      </c>
      <c r="AB38" s="50">
        <f t="shared" si="14"/>
        <v>0</v>
      </c>
      <c r="AC38" s="50">
        <f t="shared" si="15"/>
        <v>0</v>
      </c>
      <c r="AD38" s="50">
        <f t="shared" si="16"/>
        <v>25</v>
      </c>
      <c r="AE38" s="50">
        <f t="shared" si="17"/>
        <v>1</v>
      </c>
    </row>
    <row r="39" spans="1:32" ht="19.5" customHeight="1" thickBot="1">
      <c r="A39" s="552" t="s">
        <v>9</v>
      </c>
      <c r="B39" s="553"/>
      <c r="C39" s="553"/>
      <c r="D39" s="553"/>
      <c r="E39" s="553"/>
      <c r="F39" s="554"/>
      <c r="G39" s="58">
        <f t="shared" ref="G39:X39" si="18">SUM(G34:G38)</f>
        <v>30</v>
      </c>
      <c r="H39" s="188">
        <f t="shared" si="18"/>
        <v>20</v>
      </c>
      <c r="I39" s="58">
        <f t="shared" si="18"/>
        <v>15</v>
      </c>
      <c r="J39" s="188">
        <f t="shared" si="18"/>
        <v>10</v>
      </c>
      <c r="K39" s="58">
        <f t="shared" si="18"/>
        <v>0</v>
      </c>
      <c r="L39" s="188">
        <f t="shared" si="18"/>
        <v>0</v>
      </c>
      <c r="M39" s="58">
        <f t="shared" si="18"/>
        <v>0</v>
      </c>
      <c r="N39" s="188">
        <f t="shared" si="18"/>
        <v>0</v>
      </c>
      <c r="O39" s="58">
        <f t="shared" si="18"/>
        <v>3</v>
      </c>
      <c r="P39" s="58">
        <f t="shared" si="18"/>
        <v>30</v>
      </c>
      <c r="Q39" s="188">
        <f t="shared" si="18"/>
        <v>20</v>
      </c>
      <c r="R39" s="58">
        <f t="shared" si="18"/>
        <v>0</v>
      </c>
      <c r="S39" s="188">
        <f t="shared" si="18"/>
        <v>0</v>
      </c>
      <c r="T39" s="58">
        <f t="shared" si="18"/>
        <v>0</v>
      </c>
      <c r="U39" s="188">
        <f t="shared" si="18"/>
        <v>0</v>
      </c>
      <c r="V39" s="58">
        <f t="shared" si="18"/>
        <v>0</v>
      </c>
      <c r="W39" s="188">
        <f t="shared" si="18"/>
        <v>0</v>
      </c>
      <c r="X39" s="58">
        <f t="shared" si="18"/>
        <v>2</v>
      </c>
      <c r="Y39" s="58">
        <f t="shared" ref="Y39:AC39" si="19">SUM(Y34:Y38)</f>
        <v>75</v>
      </c>
      <c r="Z39" s="58">
        <f t="shared" si="19"/>
        <v>60</v>
      </c>
      <c r="AA39" s="58">
        <f t="shared" si="19"/>
        <v>15</v>
      </c>
      <c r="AB39" s="58">
        <f t="shared" si="19"/>
        <v>0</v>
      </c>
      <c r="AC39" s="58">
        <f t="shared" si="19"/>
        <v>0</v>
      </c>
      <c r="AD39" s="58">
        <f>SUM(AD34:AD38)</f>
        <v>125</v>
      </c>
      <c r="AE39" s="58">
        <f>SUM(AE34:AE38)</f>
        <v>5</v>
      </c>
    </row>
    <row r="40" spans="1:32" ht="25.5" customHeight="1" thickBot="1">
      <c r="A40" s="549" t="s">
        <v>21</v>
      </c>
      <c r="B40" s="550"/>
      <c r="C40" s="550"/>
      <c r="D40" s="550"/>
      <c r="E40" s="550"/>
      <c r="F40" s="551"/>
      <c r="G40" s="66">
        <f t="shared" ref="G40:AE40" si="20">SUM(G12,G16,G23,G26,G29,G32,G39)</f>
        <v>160</v>
      </c>
      <c r="H40" s="193">
        <f t="shared" si="20"/>
        <v>155</v>
      </c>
      <c r="I40" s="66">
        <f t="shared" si="20"/>
        <v>240</v>
      </c>
      <c r="J40" s="193">
        <f t="shared" si="20"/>
        <v>185</v>
      </c>
      <c r="K40" s="66">
        <f t="shared" si="20"/>
        <v>50</v>
      </c>
      <c r="L40" s="193">
        <f t="shared" si="20"/>
        <v>0</v>
      </c>
      <c r="M40" s="66">
        <f t="shared" si="20"/>
        <v>0</v>
      </c>
      <c r="N40" s="193">
        <f t="shared" si="20"/>
        <v>0</v>
      </c>
      <c r="O40" s="66">
        <f t="shared" si="20"/>
        <v>31</v>
      </c>
      <c r="P40" s="66">
        <f t="shared" si="20"/>
        <v>150</v>
      </c>
      <c r="Q40" s="193">
        <f t="shared" si="20"/>
        <v>160</v>
      </c>
      <c r="R40" s="66">
        <f t="shared" si="20"/>
        <v>300</v>
      </c>
      <c r="S40" s="193">
        <f t="shared" si="20"/>
        <v>110</v>
      </c>
      <c r="T40" s="66">
        <f t="shared" si="20"/>
        <v>40</v>
      </c>
      <c r="U40" s="193">
        <f t="shared" si="20"/>
        <v>0</v>
      </c>
      <c r="V40" s="66">
        <f t="shared" si="20"/>
        <v>0</v>
      </c>
      <c r="W40" s="193">
        <f t="shared" si="20"/>
        <v>0</v>
      </c>
      <c r="X40" s="66">
        <f t="shared" si="20"/>
        <v>29</v>
      </c>
      <c r="Y40" s="66">
        <f t="shared" si="20"/>
        <v>940</v>
      </c>
      <c r="Z40" s="66">
        <f t="shared" si="20"/>
        <v>310</v>
      </c>
      <c r="AA40" s="66">
        <f t="shared" si="20"/>
        <v>540</v>
      </c>
      <c r="AB40" s="66">
        <f t="shared" si="20"/>
        <v>90</v>
      </c>
      <c r="AC40" s="66">
        <f t="shared" si="20"/>
        <v>0</v>
      </c>
      <c r="AD40" s="66">
        <f t="shared" si="20"/>
        <v>1550</v>
      </c>
      <c r="AE40" s="66">
        <f t="shared" si="20"/>
        <v>60</v>
      </c>
    </row>
    <row r="41" spans="1:32" ht="18.75">
      <c r="A41" s="548" t="s">
        <v>323</v>
      </c>
      <c r="B41" s="548"/>
      <c r="C41" s="548"/>
      <c r="D41" s="548"/>
      <c r="E41" s="548"/>
      <c r="F41" s="548"/>
      <c r="G41" s="548"/>
      <c r="H41" s="548"/>
      <c r="I41" s="548"/>
      <c r="J41" s="548"/>
      <c r="K41" s="548"/>
      <c r="L41" s="548"/>
      <c r="M41" s="548"/>
      <c r="N41" s="548"/>
      <c r="O41" s="548"/>
      <c r="P41" s="548"/>
      <c r="Q41" s="548"/>
    </row>
    <row r="42" spans="1:32" ht="15.75">
      <c r="A42" s="387"/>
      <c r="B42" s="387"/>
      <c r="C42" s="387"/>
      <c r="D42" s="387"/>
      <c r="E42" s="387"/>
      <c r="F42" s="387"/>
      <c r="G42" s="387"/>
      <c r="H42" s="387"/>
      <c r="I42" s="387"/>
      <c r="J42" s="387"/>
      <c r="K42" s="387"/>
      <c r="L42" s="387"/>
      <c r="M42" s="387"/>
      <c r="N42" s="387"/>
      <c r="O42" s="387"/>
      <c r="P42" s="387"/>
      <c r="Q42" s="387"/>
    </row>
    <row r="43" spans="1:32" ht="18.75">
      <c r="A43" s="513" t="s">
        <v>317</v>
      </c>
      <c r="B43" s="513"/>
      <c r="C43" s="513"/>
      <c r="D43" s="513"/>
      <c r="E43" s="513"/>
      <c r="F43" s="513"/>
      <c r="G43" s="513"/>
      <c r="H43" s="513"/>
      <c r="I43" s="513"/>
      <c r="J43" s="513"/>
      <c r="K43" s="513"/>
      <c r="L43" s="513"/>
      <c r="M43" s="513"/>
      <c r="N43" s="513"/>
      <c r="O43" s="513"/>
      <c r="P43" s="513"/>
      <c r="Q43" s="513"/>
      <c r="R43" s="513"/>
      <c r="S43" s="513"/>
      <c r="T43" s="513"/>
      <c r="U43" s="513"/>
      <c r="V43" s="513"/>
      <c r="W43" s="513"/>
      <c r="X43" s="513"/>
      <c r="Y43" s="513"/>
      <c r="Z43" s="513"/>
      <c r="AA43" s="513"/>
      <c r="AB43" s="513"/>
      <c r="AC43" s="513"/>
      <c r="AD43" s="513"/>
      <c r="AE43" s="513"/>
    </row>
    <row r="44" spans="1:32" ht="21">
      <c r="A44" s="9"/>
      <c r="B44" s="10"/>
      <c r="C44" s="16"/>
      <c r="D44" s="12"/>
      <c r="E44" s="12"/>
      <c r="F44" s="12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31"/>
      <c r="S44" s="31"/>
      <c r="T44" s="31"/>
      <c r="U44" s="31"/>
      <c r="V44" s="31"/>
      <c r="W44" s="31"/>
      <c r="X44" s="31"/>
      <c r="Y44" s="15"/>
      <c r="Z44" s="15"/>
      <c r="AA44" s="15"/>
      <c r="AB44" s="15"/>
      <c r="AC44" s="15"/>
      <c r="AD44" s="15"/>
      <c r="AE44" s="15"/>
    </row>
    <row r="45" spans="1:32" ht="30" customHeight="1">
      <c r="A45" s="169" t="s">
        <v>152</v>
      </c>
      <c r="B45" s="64" t="s">
        <v>182</v>
      </c>
      <c r="C45" s="47" t="str">
        <f>"0912-7LEK-F-"&amp;A45&amp;"-"&amp;UPPER(LEFT(B45,1))&amp;"N"</f>
        <v>0912-7LEK-F-18-PN</v>
      </c>
      <c r="D45" s="127"/>
      <c r="E45" s="129">
        <v>5</v>
      </c>
      <c r="F45" s="129"/>
      <c r="G45" s="160">
        <v>15</v>
      </c>
      <c r="H45" s="187">
        <v>10</v>
      </c>
      <c r="I45" s="160"/>
      <c r="J45" s="187"/>
      <c r="K45" s="160"/>
      <c r="L45" s="160"/>
      <c r="M45" s="160"/>
      <c r="N45" s="160"/>
      <c r="O45" s="160">
        <v>1</v>
      </c>
      <c r="P45" s="163"/>
      <c r="Q45" s="190"/>
      <c r="R45" s="163"/>
      <c r="S45" s="190"/>
      <c r="T45" s="163"/>
      <c r="U45" s="163"/>
      <c r="V45" s="163"/>
      <c r="W45" s="163"/>
      <c r="X45" s="163"/>
      <c r="Y45" s="50">
        <f>SUM(G45,I45,K45,M45,P45,R45,T45,V45)</f>
        <v>15</v>
      </c>
      <c r="Z45" s="50">
        <f>SUM(G45,P45)</f>
        <v>15</v>
      </c>
      <c r="AA45" s="50">
        <f>SUM(I45,R45)</f>
        <v>0</v>
      </c>
      <c r="AB45" s="50">
        <f>SUM(K45,T45)</f>
        <v>0</v>
      </c>
      <c r="AC45" s="50">
        <f>SUM(M45,V45)</f>
        <v>0</v>
      </c>
      <c r="AD45" s="50">
        <f>SUM(G45:N45,P45:W45)</f>
        <v>25</v>
      </c>
      <c r="AE45" s="50">
        <f>SUM(O45,X45)</f>
        <v>1</v>
      </c>
    </row>
    <row r="46" spans="1:32" ht="35.25" customHeight="1">
      <c r="A46" s="169" t="s">
        <v>153</v>
      </c>
      <c r="B46" s="64" t="s">
        <v>190</v>
      </c>
      <c r="C46" s="47" t="str">
        <f>"0912-7LEK-F-"&amp;A46&amp;"-"&amp;UPPER(LEFT(B46,1))&amp;"T"</f>
        <v>0912-7LEK-F-19-PT</v>
      </c>
      <c r="D46" s="127"/>
      <c r="E46" s="129">
        <v>5</v>
      </c>
      <c r="F46" s="129"/>
      <c r="G46" s="160">
        <v>15</v>
      </c>
      <c r="H46" s="187">
        <v>10</v>
      </c>
      <c r="I46" s="160"/>
      <c r="J46" s="187"/>
      <c r="K46" s="160"/>
      <c r="L46" s="160"/>
      <c r="M46" s="160"/>
      <c r="N46" s="160"/>
      <c r="O46" s="160">
        <v>1</v>
      </c>
      <c r="P46" s="163"/>
      <c r="Q46" s="190"/>
      <c r="R46" s="163"/>
      <c r="S46" s="190"/>
      <c r="T46" s="163"/>
      <c r="U46" s="163"/>
      <c r="V46" s="163"/>
      <c r="W46" s="163"/>
      <c r="X46" s="163"/>
      <c r="Y46" s="50">
        <f t="shared" ref="Y46:Y52" si="21">SUM(G46,I46,K46,M46,P46,R46,T46,V46)</f>
        <v>15</v>
      </c>
      <c r="Z46" s="50">
        <f t="shared" ref="Z46:Z52" si="22">SUM(G46,P46)</f>
        <v>15</v>
      </c>
      <c r="AA46" s="50">
        <f t="shared" ref="AA46:AA52" si="23">SUM(I46,R46)</f>
        <v>0</v>
      </c>
      <c r="AB46" s="50">
        <f t="shared" ref="AB46:AB52" si="24">SUM(K46,T46)</f>
        <v>0</v>
      </c>
      <c r="AC46" s="50">
        <f t="shared" ref="AC46:AC52" si="25">SUM(M46,V46)</f>
        <v>0</v>
      </c>
      <c r="AD46" s="50">
        <f t="shared" ref="AD46:AD52" si="26">SUM(G46:N46,P46:W46)</f>
        <v>25</v>
      </c>
      <c r="AE46" s="50">
        <f t="shared" ref="AE46:AE52" si="27">SUM(O46,X46)</f>
        <v>1</v>
      </c>
    </row>
    <row r="47" spans="1:32" ht="39.75" customHeight="1">
      <c r="A47" s="169" t="s">
        <v>154</v>
      </c>
      <c r="B47" s="64" t="s">
        <v>200</v>
      </c>
      <c r="C47" s="393" t="str">
        <f>"0912-7LEK-F-"&amp;A47&amp;"-"&amp;UPPER(LEFT(B47,1))&amp;""</f>
        <v>0912-7LEK-F-20-M</v>
      </c>
      <c r="D47" s="127"/>
      <c r="E47" s="129">
        <v>5</v>
      </c>
      <c r="F47" s="129"/>
      <c r="G47" s="160">
        <v>15</v>
      </c>
      <c r="H47" s="187">
        <v>10</v>
      </c>
      <c r="I47" s="160"/>
      <c r="J47" s="187"/>
      <c r="K47" s="160"/>
      <c r="L47" s="160"/>
      <c r="M47" s="160"/>
      <c r="N47" s="160"/>
      <c r="O47" s="160">
        <v>1</v>
      </c>
      <c r="P47" s="163"/>
      <c r="Q47" s="190"/>
      <c r="R47" s="163"/>
      <c r="S47" s="190"/>
      <c r="T47" s="163"/>
      <c r="U47" s="163"/>
      <c r="V47" s="163"/>
      <c r="W47" s="163"/>
      <c r="X47" s="163"/>
      <c r="Y47" s="50">
        <f t="shared" si="21"/>
        <v>15</v>
      </c>
      <c r="Z47" s="50">
        <f t="shared" si="22"/>
        <v>15</v>
      </c>
      <c r="AA47" s="50">
        <f t="shared" si="23"/>
        <v>0</v>
      </c>
      <c r="AB47" s="50">
        <f t="shared" si="24"/>
        <v>0</v>
      </c>
      <c r="AC47" s="50">
        <f t="shared" si="25"/>
        <v>0</v>
      </c>
      <c r="AD47" s="50">
        <f t="shared" si="26"/>
        <v>25</v>
      </c>
      <c r="AE47" s="50">
        <f t="shared" si="27"/>
        <v>1</v>
      </c>
    </row>
    <row r="48" spans="1:32" ht="48.75" customHeight="1">
      <c r="A48" s="169" t="s">
        <v>155</v>
      </c>
      <c r="B48" s="64" t="s">
        <v>201</v>
      </c>
      <c r="C48" s="47" t="str">
        <f>"0912-7LEK-F-"&amp;A48&amp;"-"&amp;UPPER(LEFT(B48,1))&amp;"K"</f>
        <v>0912-7LEK-F-21-IK</v>
      </c>
      <c r="D48" s="127"/>
      <c r="E48" s="129">
        <v>5</v>
      </c>
      <c r="F48" s="129"/>
      <c r="G48" s="160"/>
      <c r="H48" s="187"/>
      <c r="I48" s="160">
        <v>15</v>
      </c>
      <c r="J48" s="187">
        <v>10</v>
      </c>
      <c r="K48" s="160"/>
      <c r="L48" s="160"/>
      <c r="M48" s="160"/>
      <c r="N48" s="160"/>
      <c r="O48" s="160">
        <v>1</v>
      </c>
      <c r="P48" s="163"/>
      <c r="Q48" s="190"/>
      <c r="R48" s="163"/>
      <c r="S48" s="190"/>
      <c r="T48" s="163"/>
      <c r="U48" s="163"/>
      <c r="V48" s="163"/>
      <c r="W48" s="163"/>
      <c r="X48" s="163"/>
      <c r="Y48" s="50">
        <f>SUM(G48,I48,K48,M48,P48,R48,T48,V48)</f>
        <v>15</v>
      </c>
      <c r="Z48" s="50">
        <f t="shared" si="22"/>
        <v>0</v>
      </c>
      <c r="AA48" s="50">
        <f t="shared" si="23"/>
        <v>15</v>
      </c>
      <c r="AB48" s="50">
        <f>SUM(K48,T48)</f>
        <v>0</v>
      </c>
      <c r="AC48" s="50">
        <f t="shared" si="25"/>
        <v>0</v>
      </c>
      <c r="AD48" s="50">
        <f t="shared" si="26"/>
        <v>25</v>
      </c>
      <c r="AE48" s="50">
        <f t="shared" si="27"/>
        <v>1</v>
      </c>
    </row>
    <row r="49" spans="1:31" ht="47.25">
      <c r="A49" s="169" t="s">
        <v>191</v>
      </c>
      <c r="B49" s="64" t="s">
        <v>202</v>
      </c>
      <c r="C49" s="47" t="str">
        <f>"0912-7LEK-F-"&amp;A49&amp;"-"&amp;UPPER(LEFT(B49,1))&amp;"M"</f>
        <v>0912-7LEK-F-22-JM</v>
      </c>
      <c r="D49" s="127"/>
      <c r="E49" s="129">
        <v>5</v>
      </c>
      <c r="F49" s="129"/>
      <c r="G49" s="160"/>
      <c r="H49" s="187"/>
      <c r="I49" s="160">
        <v>15</v>
      </c>
      <c r="J49" s="187">
        <v>10</v>
      </c>
      <c r="K49" s="160"/>
      <c r="L49" s="160"/>
      <c r="M49" s="160"/>
      <c r="N49" s="160"/>
      <c r="O49" s="160">
        <v>1</v>
      </c>
      <c r="P49" s="163"/>
      <c r="Q49" s="190"/>
      <c r="R49" s="163"/>
      <c r="S49" s="190"/>
      <c r="T49" s="163"/>
      <c r="U49" s="163"/>
      <c r="V49" s="163"/>
      <c r="W49" s="163"/>
      <c r="X49" s="163"/>
      <c r="Y49" s="50">
        <f t="shared" si="21"/>
        <v>15</v>
      </c>
      <c r="Z49" s="50">
        <f t="shared" si="22"/>
        <v>0</v>
      </c>
      <c r="AA49" s="50">
        <f t="shared" si="23"/>
        <v>15</v>
      </c>
      <c r="AB49" s="50">
        <f t="shared" si="24"/>
        <v>0</v>
      </c>
      <c r="AC49" s="50">
        <f t="shared" si="25"/>
        <v>0</v>
      </c>
      <c r="AD49" s="50">
        <f t="shared" si="26"/>
        <v>25</v>
      </c>
      <c r="AE49" s="50">
        <f t="shared" si="27"/>
        <v>1</v>
      </c>
    </row>
    <row r="50" spans="1:31" ht="45.75" customHeight="1">
      <c r="A50" s="169" t="s">
        <v>192</v>
      </c>
      <c r="B50" s="64" t="s">
        <v>203</v>
      </c>
      <c r="C50" s="47" t="str">
        <f>"0912-7LEK-F-"&amp;A50&amp;"-"&amp;UPPER(LEFT(B50,1))&amp;"Z"</f>
        <v>0912-7LEK-F-23-PZ</v>
      </c>
      <c r="D50" s="127"/>
      <c r="E50" s="129">
        <v>6</v>
      </c>
      <c r="F50" s="129"/>
      <c r="G50" s="160"/>
      <c r="H50" s="187"/>
      <c r="I50" s="160"/>
      <c r="J50" s="187"/>
      <c r="K50" s="160"/>
      <c r="L50" s="160"/>
      <c r="M50" s="160"/>
      <c r="N50" s="160"/>
      <c r="O50" s="160"/>
      <c r="P50" s="163">
        <v>15</v>
      </c>
      <c r="Q50" s="190">
        <v>10</v>
      </c>
      <c r="R50" s="163"/>
      <c r="S50" s="190"/>
      <c r="T50" s="163"/>
      <c r="U50" s="163"/>
      <c r="V50" s="163"/>
      <c r="W50" s="163"/>
      <c r="X50" s="163">
        <v>1</v>
      </c>
      <c r="Y50" s="50">
        <f t="shared" si="21"/>
        <v>15</v>
      </c>
      <c r="Z50" s="50">
        <f t="shared" si="22"/>
        <v>15</v>
      </c>
      <c r="AA50" s="50">
        <f t="shared" si="23"/>
        <v>0</v>
      </c>
      <c r="AB50" s="50">
        <f t="shared" si="24"/>
        <v>0</v>
      </c>
      <c r="AC50" s="50">
        <f t="shared" si="25"/>
        <v>0</v>
      </c>
      <c r="AD50" s="50">
        <f t="shared" si="26"/>
        <v>25</v>
      </c>
      <c r="AE50" s="50">
        <f t="shared" si="27"/>
        <v>1</v>
      </c>
    </row>
    <row r="51" spans="1:31" ht="37.5" customHeight="1">
      <c r="A51" s="169" t="s">
        <v>193</v>
      </c>
      <c r="B51" s="64" t="s">
        <v>199</v>
      </c>
      <c r="C51" s="47" t="str">
        <f>"0912-7LEK-F-"&amp;A51&amp;"-"&amp;UPPER(LEFT(B51,1))&amp;""</f>
        <v>0912-7LEK-F-24-S</v>
      </c>
      <c r="D51" s="127"/>
      <c r="E51" s="129">
        <v>6</v>
      </c>
      <c r="F51" s="129"/>
      <c r="G51" s="160"/>
      <c r="H51" s="187"/>
      <c r="I51" s="160"/>
      <c r="J51" s="187"/>
      <c r="K51" s="160"/>
      <c r="L51" s="160"/>
      <c r="M51" s="160"/>
      <c r="N51" s="160"/>
      <c r="O51" s="160"/>
      <c r="P51" s="163">
        <v>15</v>
      </c>
      <c r="Q51" s="190">
        <v>10</v>
      </c>
      <c r="R51" s="163"/>
      <c r="S51" s="190"/>
      <c r="T51" s="163"/>
      <c r="U51" s="163"/>
      <c r="V51" s="163"/>
      <c r="W51" s="163"/>
      <c r="X51" s="163">
        <v>1</v>
      </c>
      <c r="Y51" s="50">
        <f t="shared" si="21"/>
        <v>15</v>
      </c>
      <c r="Z51" s="50">
        <f t="shared" si="22"/>
        <v>15</v>
      </c>
      <c r="AA51" s="50">
        <f t="shared" si="23"/>
        <v>0</v>
      </c>
      <c r="AB51" s="50">
        <f t="shared" si="24"/>
        <v>0</v>
      </c>
      <c r="AC51" s="50">
        <f t="shared" si="25"/>
        <v>0</v>
      </c>
      <c r="AD51" s="50">
        <f t="shared" si="26"/>
        <v>25</v>
      </c>
      <c r="AE51" s="50">
        <f t="shared" si="27"/>
        <v>1</v>
      </c>
    </row>
    <row r="52" spans="1:31" ht="30.75" customHeight="1">
      <c r="A52" s="169" t="s">
        <v>194</v>
      </c>
      <c r="B52" s="64" t="s">
        <v>183</v>
      </c>
      <c r="C52" s="47" t="str">
        <f>"0912-7LEK-F-"&amp;A52&amp;"-"&amp;UPPER(LEFT(B52,1))&amp;"UE"</f>
        <v>0912-7LEK-F-25-PUE</v>
      </c>
      <c r="D52" s="127"/>
      <c r="E52" s="129">
        <v>6</v>
      </c>
      <c r="F52" s="129"/>
      <c r="G52" s="160"/>
      <c r="H52" s="187"/>
      <c r="I52" s="160"/>
      <c r="J52" s="187"/>
      <c r="K52" s="160"/>
      <c r="L52" s="160"/>
      <c r="M52" s="160"/>
      <c r="N52" s="160"/>
      <c r="O52" s="160"/>
      <c r="P52" s="163">
        <v>15</v>
      </c>
      <c r="Q52" s="190">
        <v>10</v>
      </c>
      <c r="R52" s="163"/>
      <c r="S52" s="190"/>
      <c r="T52" s="163"/>
      <c r="U52" s="163"/>
      <c r="V52" s="163"/>
      <c r="W52" s="163"/>
      <c r="X52" s="163">
        <v>1</v>
      </c>
      <c r="Y52" s="50">
        <f t="shared" si="21"/>
        <v>15</v>
      </c>
      <c r="Z52" s="50">
        <f t="shared" si="22"/>
        <v>15</v>
      </c>
      <c r="AA52" s="50">
        <f t="shared" si="23"/>
        <v>0</v>
      </c>
      <c r="AB52" s="50">
        <f t="shared" si="24"/>
        <v>0</v>
      </c>
      <c r="AC52" s="50">
        <f t="shared" si="25"/>
        <v>0</v>
      </c>
      <c r="AD52" s="50">
        <f t="shared" si="26"/>
        <v>25</v>
      </c>
      <c r="AE52" s="50">
        <f t="shared" si="27"/>
        <v>1</v>
      </c>
    </row>
    <row r="53" spans="1:31" ht="21">
      <c r="A53" s="10"/>
      <c r="B53" s="10"/>
      <c r="C53" s="16"/>
      <c r="D53" s="12"/>
      <c r="E53" s="12"/>
      <c r="F53" s="12"/>
      <c r="G53" s="545"/>
      <c r="H53" s="545"/>
      <c r="I53" s="545"/>
      <c r="J53" s="545"/>
      <c r="K53" s="545"/>
      <c r="L53" s="545"/>
      <c r="M53" s="545"/>
      <c r="N53" s="545"/>
      <c r="O53" s="545"/>
      <c r="P53" s="545"/>
      <c r="Q53" s="545"/>
      <c r="R53" s="545"/>
    </row>
    <row r="54" spans="1:31" ht="21">
      <c r="A54" s="10"/>
      <c r="B54" s="10"/>
      <c r="C54" s="16"/>
      <c r="D54" s="12"/>
      <c r="E54" s="12"/>
      <c r="F54" s="12"/>
      <c r="G54" s="545"/>
      <c r="H54" s="545"/>
      <c r="I54" s="545"/>
      <c r="J54" s="545"/>
      <c r="K54" s="545"/>
      <c r="L54" s="545"/>
      <c r="M54" s="545"/>
      <c r="N54" s="545"/>
      <c r="O54" s="545"/>
      <c r="P54" s="545"/>
      <c r="Q54" s="545"/>
      <c r="R54" s="545"/>
    </row>
    <row r="55" spans="1:31" ht="21">
      <c r="A55" s="10"/>
      <c r="B55" s="10"/>
      <c r="C55" s="16"/>
      <c r="D55" s="12"/>
      <c r="E55" s="12"/>
      <c r="F55" s="12"/>
      <c r="G55" s="34"/>
      <c r="H55" s="34"/>
      <c r="I55" s="34"/>
      <c r="J55" s="34"/>
      <c r="K55" s="20" t="s">
        <v>127</v>
      </c>
      <c r="L55" s="34"/>
      <c r="M55" s="34"/>
      <c r="N55" s="34"/>
      <c r="O55" s="35"/>
      <c r="P55" s="35"/>
      <c r="Q55" s="35"/>
      <c r="R55" s="35"/>
    </row>
    <row r="56" spans="1:31" ht="21">
      <c r="A56" s="10"/>
      <c r="B56" s="10"/>
      <c r="C56" s="16"/>
      <c r="D56" s="12"/>
      <c r="E56" s="12"/>
      <c r="F56" s="12"/>
      <c r="G56" s="34"/>
      <c r="H56" s="34"/>
      <c r="I56" s="34"/>
      <c r="J56" s="34"/>
      <c r="K56" s="34"/>
      <c r="L56" s="34"/>
      <c r="M56" s="34"/>
      <c r="N56" s="34"/>
      <c r="O56" s="35"/>
      <c r="P56" s="35"/>
      <c r="Q56" s="35"/>
      <c r="R56" s="35"/>
    </row>
    <row r="57" spans="1:31" ht="21">
      <c r="A57" s="10"/>
      <c r="B57" s="10"/>
      <c r="C57" s="16"/>
      <c r="D57" s="12"/>
      <c r="E57" s="12"/>
      <c r="F57" s="12"/>
      <c r="G57" s="34"/>
      <c r="H57" s="34"/>
      <c r="I57" s="34"/>
      <c r="J57" s="34"/>
      <c r="K57" s="34"/>
      <c r="L57" s="34"/>
      <c r="M57" s="34"/>
      <c r="N57" s="34"/>
      <c r="O57" s="35"/>
      <c r="P57" s="35"/>
      <c r="Q57" s="35"/>
      <c r="R57" s="35"/>
    </row>
    <row r="58" spans="1:31" ht="21">
      <c r="A58" s="10"/>
      <c r="B58" s="10"/>
      <c r="C58" s="16"/>
      <c r="D58" s="12"/>
      <c r="E58" s="12"/>
      <c r="F58" s="12"/>
      <c r="G58" s="34"/>
      <c r="H58" s="34"/>
      <c r="I58" s="34"/>
      <c r="J58" s="34"/>
      <c r="K58" s="34"/>
      <c r="L58" s="34"/>
      <c r="M58" s="34"/>
      <c r="N58" s="34"/>
      <c r="O58" s="35"/>
      <c r="P58" s="35"/>
      <c r="Q58" s="35"/>
      <c r="R58" s="35"/>
    </row>
    <row r="59" spans="1:31" ht="21">
      <c r="A59" s="7"/>
      <c r="B59" s="18"/>
      <c r="C59" s="11"/>
      <c r="D59" s="12"/>
      <c r="E59" s="12"/>
      <c r="F59" s="12"/>
      <c r="G59" s="34"/>
      <c r="H59" s="36"/>
      <c r="I59" s="36"/>
      <c r="J59" s="36"/>
      <c r="K59" s="36"/>
      <c r="L59" s="36"/>
      <c r="M59" s="36"/>
      <c r="N59" s="36"/>
      <c r="O59" s="36"/>
      <c r="P59" s="36"/>
      <c r="Q59" s="36"/>
      <c r="R59" s="36"/>
      <c r="X59" s="37"/>
    </row>
    <row r="60" spans="1:31" ht="21">
      <c r="A60" s="5"/>
      <c r="B60" s="23"/>
      <c r="C60" s="24"/>
      <c r="D60" s="25"/>
      <c r="E60" s="25"/>
      <c r="F60" s="25"/>
      <c r="G60" s="34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X60" s="37"/>
    </row>
    <row r="61" spans="1:31" ht="21">
      <c r="A61" s="4"/>
      <c r="B61" s="26"/>
      <c r="C61" s="27"/>
      <c r="D61" s="25"/>
      <c r="E61" s="25"/>
      <c r="F61" s="25"/>
      <c r="G61" s="545"/>
      <c r="H61" s="545"/>
      <c r="I61" s="545"/>
      <c r="J61" s="545"/>
      <c r="K61" s="545"/>
      <c r="L61" s="545"/>
      <c r="M61" s="545"/>
      <c r="N61" s="545"/>
      <c r="O61" s="545"/>
      <c r="P61" s="545"/>
      <c r="Q61" s="545"/>
      <c r="R61" s="545"/>
      <c r="X61" s="38"/>
      <c r="Y61" s="1"/>
      <c r="Z61" s="1"/>
      <c r="AA61" s="1"/>
      <c r="AB61" s="1"/>
      <c r="AC61" s="1"/>
      <c r="AD61" s="1"/>
      <c r="AE61" s="1"/>
    </row>
    <row r="62" spans="1:31" ht="21">
      <c r="A62" s="2"/>
      <c r="B62" s="23"/>
      <c r="C62" s="24"/>
      <c r="D62" s="25"/>
      <c r="E62" s="25"/>
      <c r="F62" s="28"/>
      <c r="G62" s="545"/>
      <c r="H62" s="545"/>
      <c r="I62" s="545"/>
      <c r="J62" s="545"/>
      <c r="K62" s="545"/>
      <c r="L62" s="545"/>
      <c r="M62" s="545"/>
      <c r="N62" s="545"/>
      <c r="O62" s="545"/>
      <c r="P62" s="545"/>
      <c r="Q62" s="545"/>
      <c r="R62" s="545"/>
      <c r="X62" s="38"/>
    </row>
    <row r="63" spans="1:31" ht="21">
      <c r="A63" s="3"/>
      <c r="B63" s="23"/>
      <c r="C63" s="24"/>
      <c r="D63" s="25"/>
      <c r="E63" s="25"/>
      <c r="F63" s="25"/>
      <c r="G63" s="39"/>
      <c r="H63" s="33"/>
      <c r="I63" s="33"/>
      <c r="J63" s="33"/>
      <c r="K63" s="33"/>
      <c r="L63" s="33"/>
      <c r="M63" s="33"/>
      <c r="N63" s="33"/>
      <c r="O63" s="35"/>
      <c r="P63" s="35"/>
      <c r="Q63" s="35"/>
      <c r="R63" s="35"/>
    </row>
    <row r="64" spans="1:31" ht="21">
      <c r="A64" s="3"/>
      <c r="B64" s="23"/>
      <c r="C64" s="24"/>
      <c r="D64" s="25"/>
      <c r="E64" s="25"/>
      <c r="F64" s="25"/>
      <c r="G64" s="39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X64" s="14"/>
    </row>
    <row r="65" spans="1:24" ht="21">
      <c r="A65" s="3"/>
      <c r="B65" s="23"/>
      <c r="C65" s="24"/>
      <c r="D65" s="28"/>
      <c r="E65" s="28"/>
      <c r="F65" s="25"/>
      <c r="G65" s="39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33"/>
      <c r="X65" s="13"/>
    </row>
    <row r="66" spans="1:24" ht="21">
      <c r="A66" s="3"/>
      <c r="B66" s="23"/>
      <c r="C66" s="24"/>
      <c r="D66" s="25"/>
      <c r="E66" s="25"/>
      <c r="F66" s="25"/>
      <c r="G66" s="40"/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33"/>
      <c r="X66" s="13"/>
    </row>
    <row r="67" spans="1:24" ht="21">
      <c r="A67" s="7"/>
      <c r="B67" s="20"/>
      <c r="C67" s="21"/>
      <c r="D67" s="22"/>
      <c r="E67" s="22"/>
      <c r="F67" s="22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</row>
    <row r="68" spans="1:24" ht="21">
      <c r="A68" s="8"/>
      <c r="B68" s="18"/>
      <c r="C68" s="11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</row>
  </sheetData>
  <mergeCells count="50">
    <mergeCell ref="A29:F29"/>
    <mergeCell ref="A26:F26"/>
    <mergeCell ref="A23:F23"/>
    <mergeCell ref="A40:F40"/>
    <mergeCell ref="A39:F39"/>
    <mergeCell ref="A32:F32"/>
    <mergeCell ref="B34:C34"/>
    <mergeCell ref="B35:C35"/>
    <mergeCell ref="B36:C36"/>
    <mergeCell ref="A16:F16"/>
    <mergeCell ref="A12:F12"/>
    <mergeCell ref="G53:R54"/>
    <mergeCell ref="G61:R62"/>
    <mergeCell ref="Z6:Z9"/>
    <mergeCell ref="G8:H8"/>
    <mergeCell ref="I8:J8"/>
    <mergeCell ref="K8:L8"/>
    <mergeCell ref="M8:N8"/>
    <mergeCell ref="O8:O9"/>
    <mergeCell ref="A43:AE43"/>
    <mergeCell ref="B37:C37"/>
    <mergeCell ref="B38:C38"/>
    <mergeCell ref="Y6:Y9"/>
    <mergeCell ref="AD6:AD9"/>
    <mergeCell ref="A41:Q41"/>
    <mergeCell ref="AA6:AA9"/>
    <mergeCell ref="AB6:AB9"/>
    <mergeCell ref="P8:Q8"/>
    <mergeCell ref="R8:S8"/>
    <mergeCell ref="T8:U8"/>
    <mergeCell ref="V8:W8"/>
    <mergeCell ref="X8:X9"/>
    <mergeCell ref="P7:X7"/>
    <mergeCell ref="G6:X6"/>
    <mergeCell ref="A1:AD1"/>
    <mergeCell ref="A2:B2"/>
    <mergeCell ref="H2:P2"/>
    <mergeCell ref="A3:B3"/>
    <mergeCell ref="AC6:AC9"/>
    <mergeCell ref="A5:F5"/>
    <mergeCell ref="G5:AE5"/>
    <mergeCell ref="A6:A9"/>
    <mergeCell ref="B6:B9"/>
    <mergeCell ref="C6:C9"/>
    <mergeCell ref="D6:F7"/>
    <mergeCell ref="D8:D9"/>
    <mergeCell ref="E8:E9"/>
    <mergeCell ref="F8:F9"/>
    <mergeCell ref="AE6:AE9"/>
    <mergeCell ref="G7:O7"/>
  </mergeCells>
  <pageMargins left="0.70866141732283472" right="0.70866141732283472" top="0.74803149606299213" bottom="0.74803149606299213" header="0.31496062992125984" footer="0.31496062992125984"/>
  <pageSetup paperSize="9" scale="47" fitToHeight="0" orientation="landscape" r:id="rId1"/>
  <rowBreaks count="1" manualBreakCount="1">
    <brk id="42" max="30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W69"/>
  <sheetViews>
    <sheetView view="pageBreakPreview" zoomScale="80" zoomScaleNormal="80" zoomScaleSheetLayoutView="80" workbookViewId="0">
      <pane xSplit="30" ySplit="9" topLeftCell="AE10" activePane="bottomRight" state="frozen"/>
      <selection pane="topRight" activeCell="AE1" sqref="AE1"/>
      <selection pane="bottomLeft" activeCell="A10" sqref="A10"/>
      <selection pane="bottomRight" activeCell="AG16" sqref="AG16"/>
    </sheetView>
  </sheetViews>
  <sheetFormatPr defaultRowHeight="15"/>
  <cols>
    <col min="1" max="1" width="6.28515625" customWidth="1"/>
    <col min="2" max="2" width="53.28515625" customWidth="1"/>
    <col min="3" max="3" width="22.7109375" customWidth="1"/>
    <col min="4" max="4" width="7.28515625" customWidth="1"/>
    <col min="5" max="5" width="9.7109375" customWidth="1"/>
    <col min="6" max="6" width="6" customWidth="1"/>
    <col min="7" max="14" width="7" customWidth="1"/>
    <col min="15" max="15" width="6.42578125" customWidth="1"/>
    <col min="16" max="23" width="5.85546875" customWidth="1"/>
    <col min="24" max="24" width="5.42578125" customWidth="1"/>
    <col min="25" max="25" width="11" customWidth="1"/>
    <col min="26" max="29" width="8.140625" customWidth="1"/>
    <col min="30" max="30" width="10.7109375" customWidth="1"/>
    <col min="31" max="31" width="9.42578125" customWidth="1"/>
  </cols>
  <sheetData>
    <row r="1" spans="1:32" s="41" customFormat="1" ht="42.75" customHeight="1">
      <c r="A1" s="498" t="s">
        <v>265</v>
      </c>
      <c r="B1" s="498"/>
      <c r="C1" s="498"/>
      <c r="D1" s="498"/>
      <c r="E1" s="498"/>
      <c r="F1" s="498"/>
      <c r="G1" s="498"/>
      <c r="H1" s="498"/>
      <c r="I1" s="498"/>
      <c r="J1" s="498"/>
      <c r="K1" s="498"/>
      <c r="L1" s="498"/>
      <c r="M1" s="498"/>
      <c r="N1" s="498"/>
      <c r="O1" s="498"/>
      <c r="P1" s="498"/>
      <c r="Q1" s="498"/>
      <c r="R1" s="498"/>
      <c r="S1" s="498"/>
      <c r="T1" s="498"/>
      <c r="U1" s="498"/>
      <c r="V1" s="498"/>
      <c r="W1" s="498"/>
      <c r="X1" s="498"/>
      <c r="Y1" s="498"/>
      <c r="Z1" s="498"/>
      <c r="AA1" s="498"/>
      <c r="AB1" s="498"/>
      <c r="AC1" s="498"/>
      <c r="AD1" s="498"/>
      <c r="AE1" s="498"/>
      <c r="AF1" s="107"/>
    </row>
    <row r="2" spans="1:32" s="41" customFormat="1" ht="42.75" customHeight="1">
      <c r="A2" s="509" t="s">
        <v>112</v>
      </c>
      <c r="B2" s="509"/>
      <c r="C2" s="144" t="s">
        <v>113</v>
      </c>
      <c r="E2" s="132"/>
      <c r="F2" s="132"/>
      <c r="G2" s="132"/>
      <c r="H2" s="511" t="s">
        <v>151</v>
      </c>
      <c r="I2" s="511"/>
      <c r="J2" s="511"/>
      <c r="K2" s="511"/>
      <c r="L2" s="511"/>
      <c r="M2" s="511"/>
      <c r="N2" s="511"/>
      <c r="O2" s="511"/>
      <c r="P2" s="511"/>
      <c r="Q2" s="131"/>
      <c r="R2" s="131"/>
      <c r="S2" s="131"/>
      <c r="T2" s="131"/>
      <c r="U2" s="131"/>
      <c r="V2" s="131"/>
      <c r="W2" s="131"/>
      <c r="X2" s="131"/>
      <c r="Y2" s="131"/>
      <c r="Z2" s="131"/>
      <c r="AA2" s="131"/>
      <c r="AB2" s="131"/>
      <c r="AC2" s="131"/>
      <c r="AD2" s="131"/>
      <c r="AE2" s="131"/>
      <c r="AF2" s="131"/>
    </row>
    <row r="3" spans="1:32" s="41" customFormat="1" ht="42.75" customHeight="1">
      <c r="A3" s="510" t="s">
        <v>111</v>
      </c>
      <c r="B3" s="510"/>
      <c r="C3" s="145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  <c r="Q3" s="131"/>
      <c r="R3" s="131"/>
      <c r="S3" s="131"/>
      <c r="T3" s="131"/>
      <c r="U3" s="131"/>
      <c r="V3" s="131"/>
      <c r="W3" s="131"/>
      <c r="X3" s="131"/>
      <c r="Y3" s="131"/>
      <c r="Z3" s="131"/>
      <c r="AA3" s="131"/>
      <c r="AB3" s="131"/>
      <c r="AC3" s="131"/>
      <c r="AD3" s="131"/>
      <c r="AE3" s="131"/>
      <c r="AF3" s="131"/>
    </row>
    <row r="4" spans="1:32" s="41" customFormat="1" ht="28.5" customHeight="1">
      <c r="A4" s="106"/>
      <c r="B4" s="106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  <c r="V4" s="106"/>
      <c r="W4" s="106"/>
      <c r="X4" s="106"/>
      <c r="Y4" s="106"/>
      <c r="Z4" s="106"/>
      <c r="AA4" s="106"/>
      <c r="AB4" s="106"/>
      <c r="AC4" s="106"/>
      <c r="AD4" s="106"/>
      <c r="AE4" s="106"/>
      <c r="AF4" s="106"/>
    </row>
    <row r="5" spans="1:32" ht="15" customHeight="1">
      <c r="A5" s="500"/>
      <c r="B5" s="501"/>
      <c r="C5" s="501"/>
      <c r="D5" s="501"/>
      <c r="E5" s="501"/>
      <c r="F5" s="502"/>
      <c r="G5" s="503" t="s">
        <v>103</v>
      </c>
      <c r="H5" s="504"/>
      <c r="I5" s="504"/>
      <c r="J5" s="504"/>
      <c r="K5" s="504"/>
      <c r="L5" s="504"/>
      <c r="M5" s="504"/>
      <c r="N5" s="504"/>
      <c r="O5" s="504"/>
      <c r="P5" s="504"/>
      <c r="Q5" s="504"/>
      <c r="R5" s="504"/>
      <c r="S5" s="504"/>
      <c r="T5" s="504"/>
      <c r="U5" s="504"/>
      <c r="V5" s="504"/>
      <c r="W5" s="504"/>
      <c r="X5" s="504"/>
      <c r="Y5" s="504"/>
      <c r="Z5" s="504"/>
      <c r="AA5" s="504"/>
      <c r="AB5" s="504"/>
      <c r="AC5" s="504"/>
      <c r="AD5" s="504"/>
      <c r="AE5" s="505"/>
      <c r="AF5" s="100"/>
    </row>
    <row r="6" spans="1:32" ht="15" customHeight="1">
      <c r="A6" s="483" t="s">
        <v>0</v>
      </c>
      <c r="B6" s="481" t="s">
        <v>4</v>
      </c>
      <c r="C6" s="481" t="s">
        <v>1</v>
      </c>
      <c r="D6" s="538" t="s">
        <v>8</v>
      </c>
      <c r="E6" s="538"/>
      <c r="F6" s="538"/>
      <c r="G6" s="564" t="s">
        <v>107</v>
      </c>
      <c r="H6" s="565"/>
      <c r="I6" s="565"/>
      <c r="J6" s="565"/>
      <c r="K6" s="565"/>
      <c r="L6" s="565"/>
      <c r="M6" s="565"/>
      <c r="N6" s="565"/>
      <c r="O6" s="565"/>
      <c r="P6" s="565"/>
      <c r="Q6" s="565"/>
      <c r="R6" s="565"/>
      <c r="S6" s="565"/>
      <c r="T6" s="565"/>
      <c r="U6" s="565"/>
      <c r="V6" s="565"/>
      <c r="W6" s="565"/>
      <c r="X6" s="566"/>
      <c r="Y6" s="487" t="s">
        <v>5</v>
      </c>
      <c r="Z6" s="487" t="s">
        <v>89</v>
      </c>
      <c r="AA6" s="487" t="s">
        <v>88</v>
      </c>
      <c r="AB6" s="487" t="s">
        <v>94</v>
      </c>
      <c r="AC6" s="487" t="s">
        <v>90</v>
      </c>
      <c r="AD6" s="487" t="s">
        <v>14</v>
      </c>
      <c r="AE6" s="487" t="s">
        <v>6</v>
      </c>
    </row>
    <row r="7" spans="1:32" ht="15" customHeight="1">
      <c r="A7" s="483"/>
      <c r="B7" s="481"/>
      <c r="C7" s="481"/>
      <c r="D7" s="538"/>
      <c r="E7" s="538"/>
      <c r="F7" s="538"/>
      <c r="G7" s="495" t="s">
        <v>99</v>
      </c>
      <c r="H7" s="496"/>
      <c r="I7" s="496"/>
      <c r="J7" s="496"/>
      <c r="K7" s="496"/>
      <c r="L7" s="496"/>
      <c r="M7" s="496"/>
      <c r="N7" s="496"/>
      <c r="O7" s="497"/>
      <c r="P7" s="490" t="s">
        <v>100</v>
      </c>
      <c r="Q7" s="506"/>
      <c r="R7" s="506"/>
      <c r="S7" s="506"/>
      <c r="T7" s="506"/>
      <c r="U7" s="506"/>
      <c r="V7" s="506"/>
      <c r="W7" s="506"/>
      <c r="X7" s="491"/>
      <c r="Y7" s="488"/>
      <c r="Z7" s="488"/>
      <c r="AA7" s="488"/>
      <c r="AB7" s="488"/>
      <c r="AC7" s="488"/>
      <c r="AD7" s="488"/>
      <c r="AE7" s="488"/>
    </row>
    <row r="8" spans="1:32" ht="19.5" customHeight="1">
      <c r="A8" s="484"/>
      <c r="B8" s="479"/>
      <c r="C8" s="479"/>
      <c r="D8" s="479" t="s">
        <v>2</v>
      </c>
      <c r="E8" s="479" t="s">
        <v>13</v>
      </c>
      <c r="F8" s="479" t="s">
        <v>12</v>
      </c>
      <c r="G8" s="495" t="s">
        <v>89</v>
      </c>
      <c r="H8" s="497"/>
      <c r="I8" s="495" t="s">
        <v>88</v>
      </c>
      <c r="J8" s="497"/>
      <c r="K8" s="495" t="s">
        <v>94</v>
      </c>
      <c r="L8" s="497"/>
      <c r="M8" s="495" t="s">
        <v>90</v>
      </c>
      <c r="N8" s="497"/>
      <c r="O8" s="507" t="s">
        <v>7</v>
      </c>
      <c r="P8" s="490" t="s">
        <v>89</v>
      </c>
      <c r="Q8" s="491"/>
      <c r="R8" s="490" t="s">
        <v>88</v>
      </c>
      <c r="S8" s="491"/>
      <c r="T8" s="490" t="s">
        <v>94</v>
      </c>
      <c r="U8" s="491"/>
      <c r="V8" s="490" t="s">
        <v>90</v>
      </c>
      <c r="W8" s="491"/>
      <c r="X8" s="492" t="s">
        <v>7</v>
      </c>
      <c r="Y8" s="488"/>
      <c r="Z8" s="488"/>
      <c r="AA8" s="488"/>
      <c r="AB8" s="488"/>
      <c r="AC8" s="488"/>
      <c r="AD8" s="488"/>
      <c r="AE8" s="488"/>
    </row>
    <row r="9" spans="1:32" ht="50.25" customHeight="1">
      <c r="A9" s="484"/>
      <c r="B9" s="479"/>
      <c r="C9" s="479"/>
      <c r="D9" s="561"/>
      <c r="E9" s="561"/>
      <c r="F9" s="561"/>
      <c r="G9" s="176" t="s">
        <v>15</v>
      </c>
      <c r="H9" s="176" t="s">
        <v>16</v>
      </c>
      <c r="I9" s="176" t="s">
        <v>15</v>
      </c>
      <c r="J9" s="176" t="s">
        <v>16</v>
      </c>
      <c r="K9" s="176" t="s">
        <v>15</v>
      </c>
      <c r="L9" s="176" t="s">
        <v>16</v>
      </c>
      <c r="M9" s="176" t="s">
        <v>15</v>
      </c>
      <c r="N9" s="176" t="s">
        <v>16</v>
      </c>
      <c r="O9" s="567"/>
      <c r="P9" s="178" t="s">
        <v>15</v>
      </c>
      <c r="Q9" s="178" t="s">
        <v>16</v>
      </c>
      <c r="R9" s="178" t="s">
        <v>15</v>
      </c>
      <c r="S9" s="178" t="s">
        <v>16</v>
      </c>
      <c r="T9" s="178" t="s">
        <v>15</v>
      </c>
      <c r="U9" s="178" t="s">
        <v>16</v>
      </c>
      <c r="V9" s="178" t="s">
        <v>15</v>
      </c>
      <c r="W9" s="178" t="s">
        <v>16</v>
      </c>
      <c r="X9" s="562"/>
      <c r="Y9" s="488"/>
      <c r="Z9" s="488"/>
      <c r="AA9" s="488"/>
      <c r="AB9" s="488"/>
      <c r="AC9" s="488"/>
      <c r="AD9" s="488"/>
      <c r="AE9" s="488"/>
    </row>
    <row r="10" spans="1:32" ht="26.25" customHeight="1">
      <c r="A10" s="52" t="s">
        <v>25</v>
      </c>
      <c r="B10" s="53"/>
      <c r="C10" s="54"/>
      <c r="D10" s="53"/>
      <c r="E10" s="53"/>
      <c r="F10" s="53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5"/>
      <c r="W10" s="55"/>
      <c r="X10" s="55"/>
      <c r="Y10" s="55"/>
      <c r="Z10" s="55"/>
      <c r="AA10" s="55"/>
      <c r="AB10" s="55"/>
      <c r="AC10" s="55"/>
      <c r="AD10" s="55"/>
      <c r="AE10" s="56"/>
    </row>
    <row r="11" spans="1:32" ht="29.25" customHeight="1">
      <c r="A11" s="59">
        <v>5.0999999999999996</v>
      </c>
      <c r="B11" s="103" t="s">
        <v>51</v>
      </c>
      <c r="C11" s="47" t="str">
        <f>"0912-7LEK-C"&amp;A11&amp;"-"&amp;UPPER(LEFT(B11,1))</f>
        <v>0912-7LEK-C5.1-P</v>
      </c>
      <c r="D11" s="48">
        <v>11</v>
      </c>
      <c r="E11" s="171" t="s">
        <v>339</v>
      </c>
      <c r="F11" s="49"/>
      <c r="G11" s="395">
        <v>15</v>
      </c>
      <c r="H11" s="413">
        <v>20</v>
      </c>
      <c r="I11" s="395">
        <v>15</v>
      </c>
      <c r="J11" s="413">
        <v>25</v>
      </c>
      <c r="K11" s="395">
        <v>25</v>
      </c>
      <c r="L11" s="187"/>
      <c r="M11" s="140"/>
      <c r="N11" s="187"/>
      <c r="O11" s="140">
        <v>4</v>
      </c>
      <c r="P11" s="394">
        <v>15</v>
      </c>
      <c r="Q11" s="424">
        <v>25</v>
      </c>
      <c r="R11" s="394">
        <v>25</v>
      </c>
      <c r="S11" s="424">
        <v>25</v>
      </c>
      <c r="T11" s="394">
        <v>35</v>
      </c>
      <c r="U11" s="190"/>
      <c r="V11" s="138"/>
      <c r="W11" s="190"/>
      <c r="X11" s="394">
        <v>5</v>
      </c>
      <c r="Y11" s="50">
        <f>SUM(Z11:AC11)</f>
        <v>130</v>
      </c>
      <c r="Z11" s="50">
        <f t="shared" ref="Z11:Z18" si="0">SUM(G11,P11)</f>
        <v>30</v>
      </c>
      <c r="AA11" s="50">
        <f t="shared" ref="AA11:AA18" si="1">SUM(I11,R11)</f>
        <v>40</v>
      </c>
      <c r="AB11" s="50">
        <f t="shared" ref="AB11:AB18" si="2">SUM(K11,T11)</f>
        <v>60</v>
      </c>
      <c r="AC11" s="50">
        <f t="shared" ref="AC11:AC18" si="3">SUM(M11,V11)</f>
        <v>0</v>
      </c>
      <c r="AD11" s="50">
        <f>SUM(G11:N11,P11:W11)</f>
        <v>225</v>
      </c>
      <c r="AE11" s="50">
        <f t="shared" ref="AE11:AE18" si="4">SUM(O11,X11)</f>
        <v>9</v>
      </c>
    </row>
    <row r="12" spans="1:32" ht="27.75" customHeight="1">
      <c r="A12" s="59">
        <v>5.2</v>
      </c>
      <c r="B12" s="103" t="s">
        <v>80</v>
      </c>
      <c r="C12" s="47" t="str">
        <f t="shared" ref="C12:C17" si="5">"0912-7LEK-C"&amp;A12&amp;"-"&amp;UPPER(LEFT(B12,1))</f>
        <v>0912-7LEK-C5.2-C</v>
      </c>
      <c r="D12" s="48">
        <v>11</v>
      </c>
      <c r="E12" s="171" t="s">
        <v>246</v>
      </c>
      <c r="F12" s="49"/>
      <c r="G12" s="140">
        <v>15</v>
      </c>
      <c r="H12" s="413">
        <v>5</v>
      </c>
      <c r="I12" s="140">
        <v>15</v>
      </c>
      <c r="J12" s="413">
        <v>15</v>
      </c>
      <c r="K12" s="140">
        <v>25</v>
      </c>
      <c r="L12" s="187"/>
      <c r="M12" s="140"/>
      <c r="N12" s="187"/>
      <c r="O12" s="140">
        <v>3</v>
      </c>
      <c r="P12" s="138">
        <v>15</v>
      </c>
      <c r="Q12" s="424">
        <v>20</v>
      </c>
      <c r="R12" s="138">
        <v>15</v>
      </c>
      <c r="S12" s="424">
        <v>10</v>
      </c>
      <c r="T12" s="138">
        <v>15</v>
      </c>
      <c r="U12" s="190"/>
      <c r="V12" s="138"/>
      <c r="W12" s="190"/>
      <c r="X12" s="138">
        <v>3</v>
      </c>
      <c r="Y12" s="50">
        <f t="shared" ref="Y12:Y18" si="6">SUM(Z12:AC12)</f>
        <v>100</v>
      </c>
      <c r="Z12" s="50">
        <f t="shared" si="0"/>
        <v>30</v>
      </c>
      <c r="AA12" s="50">
        <f t="shared" si="1"/>
        <v>30</v>
      </c>
      <c r="AB12" s="50">
        <f t="shared" si="2"/>
        <v>40</v>
      </c>
      <c r="AC12" s="50">
        <f t="shared" si="3"/>
        <v>0</v>
      </c>
      <c r="AD12" s="50">
        <f t="shared" ref="AD12:AD18" si="7">SUM(G12:N12,P12:W12)</f>
        <v>150</v>
      </c>
      <c r="AE12" s="50">
        <f t="shared" si="4"/>
        <v>6</v>
      </c>
    </row>
    <row r="13" spans="1:32" ht="24" customHeight="1">
      <c r="A13" s="59">
        <v>5.4</v>
      </c>
      <c r="B13" s="103" t="s">
        <v>53</v>
      </c>
      <c r="C13" s="47" t="str">
        <f t="shared" si="5"/>
        <v>0912-7LEK-C5.4-N</v>
      </c>
      <c r="D13" s="48">
        <v>7</v>
      </c>
      <c r="E13" s="49">
        <v>7</v>
      </c>
      <c r="F13" s="49"/>
      <c r="G13" s="140">
        <v>15</v>
      </c>
      <c r="H13" s="413">
        <v>20</v>
      </c>
      <c r="I13" s="140">
        <v>15</v>
      </c>
      <c r="J13" s="413">
        <v>20</v>
      </c>
      <c r="K13" s="140">
        <v>30</v>
      </c>
      <c r="L13" s="187"/>
      <c r="M13" s="140"/>
      <c r="N13" s="187"/>
      <c r="O13" s="140">
        <v>4</v>
      </c>
      <c r="P13" s="138"/>
      <c r="Q13" s="424"/>
      <c r="R13" s="138"/>
      <c r="S13" s="424"/>
      <c r="T13" s="138"/>
      <c r="U13" s="190"/>
      <c r="V13" s="138"/>
      <c r="W13" s="190"/>
      <c r="X13" s="138"/>
      <c r="Y13" s="50">
        <f t="shared" si="6"/>
        <v>60</v>
      </c>
      <c r="Z13" s="50">
        <f t="shared" si="0"/>
        <v>15</v>
      </c>
      <c r="AA13" s="50">
        <f t="shared" si="1"/>
        <v>15</v>
      </c>
      <c r="AB13" s="50">
        <f t="shared" si="2"/>
        <v>30</v>
      </c>
      <c r="AC13" s="50">
        <f t="shared" si="3"/>
        <v>0</v>
      </c>
      <c r="AD13" s="50">
        <f t="shared" si="7"/>
        <v>100</v>
      </c>
      <c r="AE13" s="50">
        <f t="shared" si="4"/>
        <v>4</v>
      </c>
    </row>
    <row r="14" spans="1:32" ht="24" customHeight="1">
      <c r="A14" s="59">
        <v>5.5</v>
      </c>
      <c r="B14" s="103" t="s">
        <v>54</v>
      </c>
      <c r="C14" s="47" t="str">
        <f t="shared" si="5"/>
        <v>0912-7LEK-C5.5-P</v>
      </c>
      <c r="D14" s="48">
        <v>8</v>
      </c>
      <c r="E14" s="49">
        <v>8</v>
      </c>
      <c r="F14" s="49"/>
      <c r="G14" s="140"/>
      <c r="H14" s="413"/>
      <c r="I14" s="140"/>
      <c r="J14" s="413"/>
      <c r="K14" s="140"/>
      <c r="L14" s="187"/>
      <c r="M14" s="140"/>
      <c r="N14" s="187"/>
      <c r="O14" s="140"/>
      <c r="P14" s="394">
        <v>20</v>
      </c>
      <c r="Q14" s="424">
        <v>20</v>
      </c>
      <c r="R14" s="394">
        <v>20</v>
      </c>
      <c r="S14" s="424">
        <v>15</v>
      </c>
      <c r="T14" s="394">
        <v>25</v>
      </c>
      <c r="U14" s="190"/>
      <c r="V14" s="138"/>
      <c r="W14" s="190"/>
      <c r="X14" s="138">
        <v>4</v>
      </c>
      <c r="Y14" s="50">
        <f t="shared" si="6"/>
        <v>65</v>
      </c>
      <c r="Z14" s="50">
        <f t="shared" si="0"/>
        <v>20</v>
      </c>
      <c r="AA14" s="50">
        <f t="shared" si="1"/>
        <v>20</v>
      </c>
      <c r="AB14" s="50">
        <f t="shared" si="2"/>
        <v>25</v>
      </c>
      <c r="AC14" s="50">
        <f t="shared" si="3"/>
        <v>0</v>
      </c>
      <c r="AD14" s="50">
        <f t="shared" si="7"/>
        <v>100</v>
      </c>
      <c r="AE14" s="50">
        <f t="shared" si="4"/>
        <v>4</v>
      </c>
    </row>
    <row r="15" spans="1:32" ht="24" customHeight="1">
      <c r="A15" s="59">
        <v>5.6</v>
      </c>
      <c r="B15" s="103" t="s">
        <v>55</v>
      </c>
      <c r="C15" s="47" t="str">
        <f t="shared" si="5"/>
        <v>0912-7LEK-C5.6-O</v>
      </c>
      <c r="D15" s="48">
        <v>7</v>
      </c>
      <c r="E15" s="49">
        <v>7</v>
      </c>
      <c r="F15" s="49"/>
      <c r="G15" s="140">
        <v>15</v>
      </c>
      <c r="H15" s="413">
        <v>15</v>
      </c>
      <c r="I15" s="140">
        <v>15</v>
      </c>
      <c r="J15" s="413">
        <v>30</v>
      </c>
      <c r="K15" s="140">
        <v>25</v>
      </c>
      <c r="L15" s="187"/>
      <c r="M15" s="140"/>
      <c r="N15" s="187"/>
      <c r="O15" s="140">
        <v>4</v>
      </c>
      <c r="P15" s="138"/>
      <c r="Q15" s="424"/>
      <c r="R15" s="138"/>
      <c r="S15" s="424"/>
      <c r="T15" s="138"/>
      <c r="U15" s="190"/>
      <c r="V15" s="138"/>
      <c r="W15" s="190"/>
      <c r="X15" s="138"/>
      <c r="Y15" s="50">
        <f t="shared" si="6"/>
        <v>55</v>
      </c>
      <c r="Z15" s="50">
        <f t="shared" si="0"/>
        <v>15</v>
      </c>
      <c r="AA15" s="50">
        <f t="shared" si="1"/>
        <v>15</v>
      </c>
      <c r="AB15" s="50">
        <f t="shared" si="2"/>
        <v>25</v>
      </c>
      <c r="AC15" s="50">
        <f t="shared" si="3"/>
        <v>0</v>
      </c>
      <c r="AD15" s="50">
        <f t="shared" si="7"/>
        <v>100</v>
      </c>
      <c r="AE15" s="50">
        <f t="shared" si="4"/>
        <v>4</v>
      </c>
    </row>
    <row r="16" spans="1:32" ht="24" customHeight="1">
      <c r="A16" s="59">
        <v>5.9</v>
      </c>
      <c r="B16" s="103" t="s">
        <v>58</v>
      </c>
      <c r="C16" s="47" t="str">
        <f>RAZEM!C47</f>
        <v>0912-7LEK-C5.9-CZ</v>
      </c>
      <c r="D16" s="48">
        <v>7</v>
      </c>
      <c r="E16" s="49">
        <v>7</v>
      </c>
      <c r="F16" s="49"/>
      <c r="G16" s="395">
        <v>30</v>
      </c>
      <c r="H16" s="177">
        <v>20</v>
      </c>
      <c r="I16" s="395">
        <v>20</v>
      </c>
      <c r="J16" s="413">
        <v>10</v>
      </c>
      <c r="K16" s="395">
        <v>20</v>
      </c>
      <c r="L16" s="177"/>
      <c r="M16" s="177"/>
      <c r="N16" s="177"/>
      <c r="O16" s="395">
        <v>4</v>
      </c>
      <c r="P16" s="138"/>
      <c r="Q16" s="424"/>
      <c r="R16" s="138"/>
      <c r="S16" s="424"/>
      <c r="T16" s="138"/>
      <c r="U16" s="190"/>
      <c r="V16" s="138"/>
      <c r="W16" s="190"/>
      <c r="X16" s="138"/>
      <c r="Y16" s="50">
        <f t="shared" si="6"/>
        <v>70</v>
      </c>
      <c r="Z16" s="50">
        <f t="shared" si="0"/>
        <v>30</v>
      </c>
      <c r="AA16" s="50">
        <f t="shared" si="1"/>
        <v>20</v>
      </c>
      <c r="AB16" s="50">
        <f t="shared" si="2"/>
        <v>20</v>
      </c>
      <c r="AC16" s="50">
        <f t="shared" si="3"/>
        <v>0</v>
      </c>
      <c r="AD16" s="50">
        <f t="shared" si="7"/>
        <v>100</v>
      </c>
      <c r="AE16" s="50">
        <f t="shared" si="4"/>
        <v>4</v>
      </c>
    </row>
    <row r="17" spans="1:31" ht="24" customHeight="1">
      <c r="A17" s="169" t="s">
        <v>261</v>
      </c>
      <c r="B17" s="103" t="s">
        <v>59</v>
      </c>
      <c r="C17" s="47" t="str">
        <f t="shared" si="5"/>
        <v>0912-7LEK-C5.10-R</v>
      </c>
      <c r="D17" s="48">
        <v>7</v>
      </c>
      <c r="E17" s="49">
        <v>7</v>
      </c>
      <c r="F17" s="49"/>
      <c r="G17" s="395">
        <v>15</v>
      </c>
      <c r="H17" s="413">
        <v>15</v>
      </c>
      <c r="I17" s="395">
        <v>15</v>
      </c>
      <c r="J17" s="413">
        <v>10</v>
      </c>
      <c r="K17" s="395">
        <v>20</v>
      </c>
      <c r="L17" s="187"/>
      <c r="M17" s="140"/>
      <c r="N17" s="187"/>
      <c r="O17" s="140">
        <v>3</v>
      </c>
      <c r="P17" s="138"/>
      <c r="Q17" s="424"/>
      <c r="R17" s="138"/>
      <c r="S17" s="424"/>
      <c r="T17" s="138"/>
      <c r="U17" s="190"/>
      <c r="V17" s="138"/>
      <c r="W17" s="190"/>
      <c r="X17" s="138"/>
      <c r="Y17" s="50">
        <f t="shared" si="6"/>
        <v>50</v>
      </c>
      <c r="Z17" s="50">
        <f t="shared" si="0"/>
        <v>15</v>
      </c>
      <c r="AA17" s="50">
        <f t="shared" si="1"/>
        <v>15</v>
      </c>
      <c r="AB17" s="50">
        <f t="shared" si="2"/>
        <v>20</v>
      </c>
      <c r="AC17" s="50">
        <f t="shared" si="3"/>
        <v>0</v>
      </c>
      <c r="AD17" s="50">
        <f t="shared" si="7"/>
        <v>75</v>
      </c>
      <c r="AE17" s="50">
        <f t="shared" si="4"/>
        <v>3</v>
      </c>
    </row>
    <row r="18" spans="1:31" ht="24" customHeight="1">
      <c r="A18" s="102">
        <v>5.12</v>
      </c>
      <c r="B18" s="103" t="s">
        <v>327</v>
      </c>
      <c r="C18" s="47" t="str">
        <f>RAZEM!C50</f>
        <v>0912-7LEK-C5.12-FK</v>
      </c>
      <c r="D18" s="48">
        <v>8</v>
      </c>
      <c r="E18" s="49">
        <v>8</v>
      </c>
      <c r="F18" s="49"/>
      <c r="G18" s="140"/>
      <c r="H18" s="413"/>
      <c r="I18" s="140"/>
      <c r="J18" s="187"/>
      <c r="K18" s="140"/>
      <c r="L18" s="187"/>
      <c r="M18" s="140"/>
      <c r="N18" s="187"/>
      <c r="O18" s="140"/>
      <c r="P18" s="394">
        <v>20</v>
      </c>
      <c r="Q18" s="424">
        <v>15</v>
      </c>
      <c r="R18" s="394">
        <v>25</v>
      </c>
      <c r="S18" s="424">
        <v>15</v>
      </c>
      <c r="T18" s="138"/>
      <c r="U18" s="190"/>
      <c r="V18" s="138"/>
      <c r="W18" s="190"/>
      <c r="X18" s="138">
        <v>3</v>
      </c>
      <c r="Y18" s="50">
        <f t="shared" si="6"/>
        <v>45</v>
      </c>
      <c r="Z18" s="50">
        <f t="shared" si="0"/>
        <v>20</v>
      </c>
      <c r="AA18" s="50">
        <f t="shared" si="1"/>
        <v>25</v>
      </c>
      <c r="AB18" s="50">
        <f t="shared" si="2"/>
        <v>0</v>
      </c>
      <c r="AC18" s="50">
        <f t="shared" si="3"/>
        <v>0</v>
      </c>
      <c r="AD18" s="50">
        <f t="shared" si="7"/>
        <v>75</v>
      </c>
      <c r="AE18" s="50">
        <f t="shared" si="4"/>
        <v>3</v>
      </c>
    </row>
    <row r="19" spans="1:31" ht="15.75">
      <c r="A19" s="474" t="s">
        <v>9</v>
      </c>
      <c r="B19" s="475"/>
      <c r="C19" s="476"/>
      <c r="D19" s="51"/>
      <c r="E19" s="51"/>
      <c r="F19" s="51"/>
      <c r="G19" s="58">
        <f t="shared" ref="G19:AE19" si="8">SUM(G11:G18)</f>
        <v>105</v>
      </c>
      <c r="H19" s="188">
        <f t="shared" si="8"/>
        <v>95</v>
      </c>
      <c r="I19" s="58">
        <f t="shared" si="8"/>
        <v>95</v>
      </c>
      <c r="J19" s="188">
        <f t="shared" si="8"/>
        <v>110</v>
      </c>
      <c r="K19" s="58">
        <f t="shared" si="8"/>
        <v>145</v>
      </c>
      <c r="L19" s="188">
        <f t="shared" si="8"/>
        <v>0</v>
      </c>
      <c r="M19" s="58">
        <f t="shared" si="8"/>
        <v>0</v>
      </c>
      <c r="N19" s="188">
        <f t="shared" si="8"/>
        <v>0</v>
      </c>
      <c r="O19" s="58">
        <f t="shared" si="8"/>
        <v>22</v>
      </c>
      <c r="P19" s="58">
        <f t="shared" si="8"/>
        <v>70</v>
      </c>
      <c r="Q19" s="188">
        <f t="shared" si="8"/>
        <v>80</v>
      </c>
      <c r="R19" s="404">
        <f t="shared" si="8"/>
        <v>85</v>
      </c>
      <c r="S19" s="188">
        <f t="shared" si="8"/>
        <v>65</v>
      </c>
      <c r="T19" s="58">
        <f t="shared" si="8"/>
        <v>75</v>
      </c>
      <c r="U19" s="188">
        <f t="shared" si="8"/>
        <v>0</v>
      </c>
      <c r="V19" s="58">
        <f t="shared" si="8"/>
        <v>0</v>
      </c>
      <c r="W19" s="188">
        <f t="shared" si="8"/>
        <v>0</v>
      </c>
      <c r="X19" s="58">
        <f t="shared" si="8"/>
        <v>15</v>
      </c>
      <c r="Y19" s="58">
        <f t="shared" si="8"/>
        <v>575</v>
      </c>
      <c r="Z19" s="58">
        <f t="shared" si="8"/>
        <v>175</v>
      </c>
      <c r="AA19" s="58">
        <f t="shared" si="8"/>
        <v>180</v>
      </c>
      <c r="AB19" s="58">
        <f t="shared" si="8"/>
        <v>220</v>
      </c>
      <c r="AC19" s="58">
        <f t="shared" si="8"/>
        <v>0</v>
      </c>
      <c r="AD19" s="58">
        <f t="shared" si="8"/>
        <v>925</v>
      </c>
      <c r="AE19" s="58">
        <f t="shared" si="8"/>
        <v>37</v>
      </c>
    </row>
    <row r="20" spans="1:31" ht="25.5" customHeight="1">
      <c r="A20" s="52" t="s">
        <v>26</v>
      </c>
      <c r="B20" s="53"/>
      <c r="C20" s="54"/>
      <c r="D20" s="53"/>
      <c r="E20" s="53"/>
      <c r="F20" s="53"/>
      <c r="G20" s="55"/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U20" s="55"/>
      <c r="V20" s="55"/>
      <c r="W20" s="55"/>
      <c r="X20" s="55"/>
      <c r="Y20" s="55"/>
      <c r="Z20" s="55"/>
      <c r="AA20" s="55"/>
      <c r="AB20" s="55"/>
      <c r="AC20" s="55"/>
      <c r="AD20" s="55"/>
      <c r="AE20" s="56"/>
    </row>
    <row r="21" spans="1:31" ht="25.5" customHeight="1">
      <c r="A21" s="59">
        <v>6.1</v>
      </c>
      <c r="B21" s="103" t="s">
        <v>62</v>
      </c>
      <c r="C21" s="47" t="str">
        <f>"0912-7LEK-C"&amp;A21&amp;"-"&amp;UPPER(LEFT(B21,1))&amp;"iIT"</f>
        <v>0912-7LEK-C6.1-AiIT</v>
      </c>
      <c r="D21" s="48">
        <v>8</v>
      </c>
      <c r="E21" s="49" t="s">
        <v>277</v>
      </c>
      <c r="F21" s="49"/>
      <c r="G21" s="140">
        <v>15</v>
      </c>
      <c r="H21" s="187">
        <v>10</v>
      </c>
      <c r="I21" s="140">
        <v>15</v>
      </c>
      <c r="J21" s="187">
        <v>10</v>
      </c>
      <c r="K21" s="140">
        <v>25</v>
      </c>
      <c r="L21" s="140"/>
      <c r="M21" s="140"/>
      <c r="N21" s="140"/>
      <c r="O21" s="140">
        <v>3</v>
      </c>
      <c r="P21" s="138">
        <v>15</v>
      </c>
      <c r="Q21" s="190">
        <v>5</v>
      </c>
      <c r="R21" s="163">
        <v>15</v>
      </c>
      <c r="S21" s="190">
        <v>5</v>
      </c>
      <c r="T21" s="138">
        <v>10</v>
      </c>
      <c r="U21" s="190"/>
      <c r="V21" s="138"/>
      <c r="W21" s="190"/>
      <c r="X21" s="138">
        <v>2</v>
      </c>
      <c r="Y21" s="50">
        <f>SUM(Z21:AC21)</f>
        <v>95</v>
      </c>
      <c r="Z21" s="50">
        <f>SUM(G21,P21)</f>
        <v>30</v>
      </c>
      <c r="AA21" s="50">
        <f>SUM(I21,R21)</f>
        <v>30</v>
      </c>
      <c r="AB21" s="50">
        <f>SUM(K21,T21)</f>
        <v>35</v>
      </c>
      <c r="AC21" s="50">
        <f>SUM(M21,V21)</f>
        <v>0</v>
      </c>
      <c r="AD21" s="113">
        <f>SUM(G21:N21,P21:W21)</f>
        <v>125</v>
      </c>
      <c r="AE21" s="50">
        <f>SUM(O21,X21)</f>
        <v>5</v>
      </c>
    </row>
    <row r="22" spans="1:31" ht="24" customHeight="1">
      <c r="A22" s="59">
        <v>6.2</v>
      </c>
      <c r="B22" s="103" t="s">
        <v>63</v>
      </c>
      <c r="C22" s="47" t="str">
        <f t="shared" ref="C22" si="9">"0912-7LEK-C"&amp;A22&amp;"-"&amp;UPPER(LEFT(B22,1))</f>
        <v>0912-7LEK-C6.2-C</v>
      </c>
      <c r="D22" s="274">
        <v>12</v>
      </c>
      <c r="E22" s="171" t="s">
        <v>340</v>
      </c>
      <c r="F22" s="49"/>
      <c r="G22" s="140">
        <v>15</v>
      </c>
      <c r="H22" s="187">
        <v>10</v>
      </c>
      <c r="I22" s="140">
        <v>15</v>
      </c>
      <c r="J22" s="187">
        <v>10</v>
      </c>
      <c r="K22" s="140">
        <v>25</v>
      </c>
      <c r="L22" s="140"/>
      <c r="M22" s="140"/>
      <c r="N22" s="140"/>
      <c r="O22" s="140">
        <v>3</v>
      </c>
      <c r="P22" s="138">
        <v>15</v>
      </c>
      <c r="Q22" s="190">
        <v>5</v>
      </c>
      <c r="R22" s="138">
        <v>15</v>
      </c>
      <c r="S22" s="190">
        <v>15</v>
      </c>
      <c r="T22" s="138"/>
      <c r="U22" s="190"/>
      <c r="V22" s="138"/>
      <c r="W22" s="190"/>
      <c r="X22" s="138">
        <v>2</v>
      </c>
      <c r="Y22" s="50">
        <f t="shared" ref="Y22:Y23" si="10">SUM(Z22:AC22)</f>
        <v>85</v>
      </c>
      <c r="Z22" s="50">
        <f>SUM(G22,P22)</f>
        <v>30</v>
      </c>
      <c r="AA22" s="50">
        <f>SUM(I22,R22)</f>
        <v>30</v>
      </c>
      <c r="AB22" s="50">
        <f t="shared" ref="AB22:AB23" si="11">SUM(K22,T22)</f>
        <v>25</v>
      </c>
      <c r="AC22" s="50">
        <f t="shared" ref="AC22:AC23" si="12">SUM(M22,V22)</f>
        <v>0</v>
      </c>
      <c r="AD22" s="50">
        <f>SUM(G22:N22,P22:W22)</f>
        <v>125</v>
      </c>
      <c r="AE22" s="50">
        <f>SUM(O22,X22)</f>
        <v>5</v>
      </c>
    </row>
    <row r="23" spans="1:31" ht="22.5" customHeight="1">
      <c r="A23" s="219">
        <v>6.13</v>
      </c>
      <c r="B23" s="61" t="s">
        <v>74</v>
      </c>
      <c r="C23" s="47" t="str">
        <f>RAZEM!C65</f>
        <v>0912-7LEK-C6.13-DO</v>
      </c>
      <c r="D23" s="48">
        <v>8</v>
      </c>
      <c r="E23" s="49">
        <v>8</v>
      </c>
      <c r="F23" s="49"/>
      <c r="G23" s="140"/>
      <c r="H23" s="187"/>
      <c r="I23" s="140"/>
      <c r="J23" s="187"/>
      <c r="K23" s="140"/>
      <c r="L23" s="140"/>
      <c r="M23" s="140"/>
      <c r="N23" s="140"/>
      <c r="O23" s="140"/>
      <c r="P23" s="138">
        <v>15</v>
      </c>
      <c r="Q23" s="190">
        <v>10</v>
      </c>
      <c r="R23" s="138">
        <v>15</v>
      </c>
      <c r="S23" s="190">
        <v>10</v>
      </c>
      <c r="T23" s="138">
        <v>25</v>
      </c>
      <c r="U23" s="190"/>
      <c r="V23" s="138"/>
      <c r="W23" s="190"/>
      <c r="X23" s="138">
        <v>3</v>
      </c>
      <c r="Y23" s="50">
        <f t="shared" si="10"/>
        <v>55</v>
      </c>
      <c r="Z23" s="50">
        <f>SUM(G23,P23)</f>
        <v>15</v>
      </c>
      <c r="AA23" s="50">
        <f>SUM(I23,R23)</f>
        <v>15</v>
      </c>
      <c r="AB23" s="50">
        <f t="shared" si="11"/>
        <v>25</v>
      </c>
      <c r="AC23" s="50">
        <f t="shared" si="12"/>
        <v>0</v>
      </c>
      <c r="AD23" s="50">
        <f>SUM(G23:N23,P23:W23)</f>
        <v>75</v>
      </c>
      <c r="AE23" s="50">
        <f>SUM(O23,X23)</f>
        <v>3</v>
      </c>
    </row>
    <row r="24" spans="1:31" ht="15.75">
      <c r="A24" s="474" t="s">
        <v>9</v>
      </c>
      <c r="B24" s="475"/>
      <c r="C24" s="476"/>
      <c r="D24" s="51"/>
      <c r="E24" s="51"/>
      <c r="F24" s="51"/>
      <c r="G24" s="58">
        <f t="shared" ref="G24:AE24" si="13">SUM(G21:G23)</f>
        <v>30</v>
      </c>
      <c r="H24" s="188">
        <f t="shared" si="13"/>
        <v>20</v>
      </c>
      <c r="I24" s="58">
        <f t="shared" si="13"/>
        <v>30</v>
      </c>
      <c r="J24" s="58">
        <f t="shared" si="13"/>
        <v>20</v>
      </c>
      <c r="K24" s="58">
        <f t="shared" si="13"/>
        <v>50</v>
      </c>
      <c r="L24" s="58">
        <f t="shared" si="13"/>
        <v>0</v>
      </c>
      <c r="M24" s="58">
        <f t="shared" si="13"/>
        <v>0</v>
      </c>
      <c r="N24" s="58">
        <f t="shared" si="13"/>
        <v>0</v>
      </c>
      <c r="O24" s="58">
        <f t="shared" si="13"/>
        <v>6</v>
      </c>
      <c r="P24" s="58">
        <f t="shared" si="13"/>
        <v>45</v>
      </c>
      <c r="Q24" s="188">
        <f t="shared" si="13"/>
        <v>20</v>
      </c>
      <c r="R24" s="58">
        <f t="shared" si="13"/>
        <v>45</v>
      </c>
      <c r="S24" s="188">
        <f t="shared" si="13"/>
        <v>30</v>
      </c>
      <c r="T24" s="58">
        <f t="shared" si="13"/>
        <v>35</v>
      </c>
      <c r="U24" s="188">
        <f t="shared" si="13"/>
        <v>0</v>
      </c>
      <c r="V24" s="58">
        <f t="shared" si="13"/>
        <v>0</v>
      </c>
      <c r="W24" s="188">
        <f t="shared" si="13"/>
        <v>0</v>
      </c>
      <c r="X24" s="58">
        <f t="shared" si="13"/>
        <v>7</v>
      </c>
      <c r="Y24" s="58">
        <f t="shared" si="13"/>
        <v>235</v>
      </c>
      <c r="Z24" s="58">
        <f t="shared" si="13"/>
        <v>75</v>
      </c>
      <c r="AA24" s="58">
        <f t="shared" si="13"/>
        <v>75</v>
      </c>
      <c r="AB24" s="58">
        <f t="shared" si="13"/>
        <v>85</v>
      </c>
      <c r="AC24" s="58">
        <f t="shared" si="13"/>
        <v>0</v>
      </c>
      <c r="AD24" s="58">
        <f t="shared" si="13"/>
        <v>325</v>
      </c>
      <c r="AE24" s="58">
        <f t="shared" si="13"/>
        <v>13</v>
      </c>
    </row>
    <row r="25" spans="1:31" ht="25.5" customHeight="1">
      <c r="A25" s="52" t="s">
        <v>29</v>
      </c>
      <c r="B25" s="53"/>
      <c r="C25" s="54"/>
      <c r="D25" s="53"/>
      <c r="E25" s="53"/>
      <c r="F25" s="53"/>
      <c r="G25" s="55"/>
      <c r="H25" s="55"/>
      <c r="I25" s="55"/>
      <c r="J25" s="55"/>
      <c r="K25" s="55"/>
      <c r="L25" s="55"/>
      <c r="M25" s="55"/>
      <c r="N25" s="55"/>
      <c r="O25" s="55"/>
      <c r="P25" s="55"/>
      <c r="Q25" s="55"/>
      <c r="R25" s="55"/>
      <c r="S25" s="55"/>
      <c r="T25" s="55"/>
      <c r="U25" s="55"/>
      <c r="V25" s="55"/>
      <c r="W25" s="55"/>
      <c r="X25" s="55"/>
      <c r="Y25" s="55"/>
      <c r="Z25" s="55"/>
      <c r="AA25" s="55"/>
      <c r="AB25" s="55"/>
      <c r="AC25" s="55"/>
      <c r="AD25" s="55"/>
      <c r="AE25" s="56"/>
    </row>
    <row r="26" spans="1:31" ht="30.75" customHeight="1">
      <c r="A26" s="59">
        <v>9.5</v>
      </c>
      <c r="B26" s="61" t="s">
        <v>86</v>
      </c>
      <c r="C26" s="47" t="str">
        <f>"0912-7LEK-C"&amp;A26&amp;"-"&amp;UPPER(LEFT(B26,1))&amp;"T"</f>
        <v>0912-7LEK-C9.5-IT</v>
      </c>
      <c r="D26" s="48"/>
      <c r="E26" s="49">
        <v>8</v>
      </c>
      <c r="F26" s="49"/>
      <c r="G26" s="140"/>
      <c r="H26" s="187"/>
      <c r="I26" s="140"/>
      <c r="J26" s="187"/>
      <c r="K26" s="140"/>
      <c r="L26" s="187"/>
      <c r="M26" s="140"/>
      <c r="N26" s="140"/>
      <c r="O26" s="140"/>
      <c r="P26" s="138"/>
      <c r="Q26" s="190"/>
      <c r="R26" s="138">
        <v>60</v>
      </c>
      <c r="S26" s="190"/>
      <c r="T26" s="138"/>
      <c r="U26" s="190"/>
      <c r="V26" s="138"/>
      <c r="W26" s="190"/>
      <c r="X26" s="138">
        <v>2</v>
      </c>
      <c r="Y26" s="50">
        <f>SUM(Z26:AC26)</f>
        <v>60</v>
      </c>
      <c r="Z26" s="50">
        <f>SUM(G26,P26)</f>
        <v>0</v>
      </c>
      <c r="AA26" s="50">
        <f>SUM(I26,R26)</f>
        <v>60</v>
      </c>
      <c r="AB26" s="50">
        <f>SUM(K26,T26)</f>
        <v>0</v>
      </c>
      <c r="AC26" s="50">
        <f>SUM(M26,V26)</f>
        <v>0</v>
      </c>
      <c r="AD26" s="50">
        <f>SUM(G26:N26,P26:W26)</f>
        <v>60</v>
      </c>
      <c r="AE26" s="50">
        <f>SUM(O26,X26)</f>
        <v>2</v>
      </c>
    </row>
    <row r="27" spans="1:31" ht="30.75" customHeight="1">
      <c r="A27" s="59">
        <v>9.6</v>
      </c>
      <c r="B27" s="61" t="s">
        <v>51</v>
      </c>
      <c r="C27" s="47" t="str">
        <f t="shared" ref="C27" si="14">"12.6-3LEK-C"&amp;A27&amp;"-"&amp;UPPER(LEFT(B27,1))</f>
        <v>12.6-3LEK-C9.6-P</v>
      </c>
      <c r="D27" s="48"/>
      <c r="E27" s="49">
        <v>8</v>
      </c>
      <c r="F27" s="49"/>
      <c r="G27" s="140"/>
      <c r="H27" s="187"/>
      <c r="I27" s="140"/>
      <c r="J27" s="187"/>
      <c r="K27" s="140"/>
      <c r="L27" s="187"/>
      <c r="M27" s="140"/>
      <c r="N27" s="140"/>
      <c r="O27" s="140"/>
      <c r="P27" s="138"/>
      <c r="Q27" s="190"/>
      <c r="R27" s="138">
        <v>60</v>
      </c>
      <c r="S27" s="190"/>
      <c r="T27" s="138"/>
      <c r="U27" s="190"/>
      <c r="V27" s="138"/>
      <c r="W27" s="190"/>
      <c r="X27" s="138">
        <v>2</v>
      </c>
      <c r="Y27" s="50">
        <f>SUM(Z27:AC27)</f>
        <v>60</v>
      </c>
      <c r="Z27" s="50">
        <f>SUM(G27,P27)</f>
        <v>0</v>
      </c>
      <c r="AA27" s="50">
        <f>SUM(I27,R27)</f>
        <v>60</v>
      </c>
      <c r="AB27" s="50">
        <f>SUM(K27,T27)</f>
        <v>0</v>
      </c>
      <c r="AC27" s="50">
        <f>SUM(M27,V27)</f>
        <v>0</v>
      </c>
      <c r="AD27" s="50">
        <f>SUM(G27:N27,P27:W27)</f>
        <v>60</v>
      </c>
      <c r="AE27" s="50">
        <f>SUM(O27,X27)</f>
        <v>2</v>
      </c>
    </row>
    <row r="28" spans="1:31" ht="15.75">
      <c r="A28" s="474" t="s">
        <v>9</v>
      </c>
      <c r="B28" s="475"/>
      <c r="C28" s="476"/>
      <c r="D28" s="51"/>
      <c r="E28" s="51"/>
      <c r="F28" s="51"/>
      <c r="G28" s="58">
        <f t="shared" ref="G28:AE28" si="15">SUM(G26:G27)</f>
        <v>0</v>
      </c>
      <c r="H28" s="188">
        <f t="shared" si="15"/>
        <v>0</v>
      </c>
      <c r="I28" s="58">
        <f t="shared" si="15"/>
        <v>0</v>
      </c>
      <c r="J28" s="188">
        <f t="shared" si="15"/>
        <v>0</v>
      </c>
      <c r="K28" s="58">
        <f t="shared" si="15"/>
        <v>0</v>
      </c>
      <c r="L28" s="188">
        <f t="shared" si="15"/>
        <v>0</v>
      </c>
      <c r="M28" s="58">
        <f t="shared" si="15"/>
        <v>0</v>
      </c>
      <c r="N28" s="58">
        <f t="shared" si="15"/>
        <v>0</v>
      </c>
      <c r="O28" s="58">
        <f t="shared" si="15"/>
        <v>0</v>
      </c>
      <c r="P28" s="58">
        <f t="shared" si="15"/>
        <v>0</v>
      </c>
      <c r="Q28" s="188">
        <f t="shared" si="15"/>
        <v>0</v>
      </c>
      <c r="R28" s="58">
        <f t="shared" si="15"/>
        <v>120</v>
      </c>
      <c r="S28" s="188">
        <f t="shared" si="15"/>
        <v>0</v>
      </c>
      <c r="T28" s="58">
        <f t="shared" si="15"/>
        <v>0</v>
      </c>
      <c r="U28" s="188">
        <f t="shared" si="15"/>
        <v>0</v>
      </c>
      <c r="V28" s="58">
        <f t="shared" si="15"/>
        <v>0</v>
      </c>
      <c r="W28" s="188">
        <f t="shared" si="15"/>
        <v>0</v>
      </c>
      <c r="X28" s="58">
        <f t="shared" si="15"/>
        <v>4</v>
      </c>
      <c r="Y28" s="58">
        <f t="shared" si="15"/>
        <v>120</v>
      </c>
      <c r="Z28" s="58">
        <f t="shared" si="15"/>
        <v>0</v>
      </c>
      <c r="AA28" s="58">
        <f t="shared" si="15"/>
        <v>120</v>
      </c>
      <c r="AB28" s="58">
        <f t="shared" si="15"/>
        <v>0</v>
      </c>
      <c r="AC28" s="58">
        <f t="shared" si="15"/>
        <v>0</v>
      </c>
      <c r="AD28" s="58">
        <f t="shared" si="15"/>
        <v>120</v>
      </c>
      <c r="AE28" s="58">
        <f t="shared" si="15"/>
        <v>4</v>
      </c>
    </row>
    <row r="29" spans="1:31" ht="15.75">
      <c r="A29" s="52" t="s">
        <v>31</v>
      </c>
      <c r="B29" s="53"/>
      <c r="C29" s="54"/>
      <c r="D29" s="118"/>
      <c r="E29" s="118"/>
      <c r="F29" s="118"/>
      <c r="G29" s="55"/>
      <c r="H29" s="55"/>
      <c r="I29" s="55"/>
      <c r="J29" s="195"/>
      <c r="K29" s="55"/>
      <c r="L29" s="55"/>
      <c r="M29" s="55"/>
      <c r="N29" s="55"/>
      <c r="O29" s="55"/>
      <c r="P29" s="55"/>
      <c r="Q29" s="55"/>
      <c r="R29" s="55"/>
      <c r="S29" s="55"/>
      <c r="T29" s="55"/>
      <c r="U29" s="55"/>
      <c r="V29" s="55"/>
      <c r="W29" s="55"/>
      <c r="X29" s="55"/>
      <c r="Y29" s="55"/>
      <c r="Z29" s="55"/>
      <c r="AA29" s="55"/>
      <c r="AB29" s="55"/>
      <c r="AC29" s="55"/>
      <c r="AD29" s="55"/>
      <c r="AE29" s="56"/>
    </row>
    <row r="30" spans="1:31" ht="30.75" customHeight="1">
      <c r="A30" s="154">
        <v>10.6</v>
      </c>
      <c r="B30" s="62" t="s">
        <v>109</v>
      </c>
      <c r="C30" s="47" t="str">
        <f>"0912-7LEK-A"&amp;A30&amp;"-"&amp;UPPER(LEFT(B30,1))&amp;"F"</f>
        <v>0912-7LEK-A10.6-WF</v>
      </c>
      <c r="D30" s="127"/>
      <c r="E30" s="128"/>
      <c r="F30" s="275" t="s">
        <v>124</v>
      </c>
      <c r="G30" s="140"/>
      <c r="H30" s="187"/>
      <c r="I30" s="140">
        <v>15</v>
      </c>
      <c r="J30" s="187"/>
      <c r="K30" s="140"/>
      <c r="L30" s="187"/>
      <c r="M30" s="140"/>
      <c r="N30" s="187"/>
      <c r="O30" s="140">
        <v>0</v>
      </c>
      <c r="P30" s="138"/>
      <c r="Q30" s="190"/>
      <c r="R30" s="138">
        <v>15</v>
      </c>
      <c r="S30" s="190"/>
      <c r="T30" s="138"/>
      <c r="U30" s="190"/>
      <c r="V30" s="138"/>
      <c r="W30" s="190"/>
      <c r="X30" s="138">
        <v>0</v>
      </c>
      <c r="Y30" s="116">
        <f>SUM(Z30:AC30)</f>
        <v>30</v>
      </c>
      <c r="Z30" s="116">
        <f>SUM(G30,P30)</f>
        <v>0</v>
      </c>
      <c r="AA30" s="116">
        <f>SUM(I30,R30)</f>
        <v>30</v>
      </c>
      <c r="AB30" s="116">
        <f>SUM(K30,T30)</f>
        <v>0</v>
      </c>
      <c r="AC30" s="116">
        <f>SUM(M30,V30)</f>
        <v>0</v>
      </c>
      <c r="AD30" s="116">
        <f>SUM(G30:N30,P30:W30)</f>
        <v>30</v>
      </c>
      <c r="AE30" s="116">
        <f>SUM(O30,X30)</f>
        <v>0</v>
      </c>
    </row>
    <row r="31" spans="1:31" ht="15.75">
      <c r="A31" s="474" t="s">
        <v>9</v>
      </c>
      <c r="B31" s="475"/>
      <c r="C31" s="476"/>
      <c r="D31" s="51"/>
      <c r="E31" s="51"/>
      <c r="F31" s="51"/>
      <c r="G31" s="58">
        <f t="shared" ref="G31:AE31" si="16">SUM(G30)</f>
        <v>0</v>
      </c>
      <c r="H31" s="188">
        <f t="shared" si="16"/>
        <v>0</v>
      </c>
      <c r="I31" s="58">
        <f t="shared" si="16"/>
        <v>15</v>
      </c>
      <c r="J31" s="188">
        <f t="shared" si="16"/>
        <v>0</v>
      </c>
      <c r="K31" s="58">
        <f t="shared" si="16"/>
        <v>0</v>
      </c>
      <c r="L31" s="188">
        <f t="shared" si="16"/>
        <v>0</v>
      </c>
      <c r="M31" s="58">
        <f t="shared" si="16"/>
        <v>0</v>
      </c>
      <c r="N31" s="188">
        <f t="shared" si="16"/>
        <v>0</v>
      </c>
      <c r="O31" s="58">
        <f t="shared" si="16"/>
        <v>0</v>
      </c>
      <c r="P31" s="58">
        <f t="shared" si="16"/>
        <v>0</v>
      </c>
      <c r="Q31" s="188">
        <f t="shared" si="16"/>
        <v>0</v>
      </c>
      <c r="R31" s="58">
        <f t="shared" si="16"/>
        <v>15</v>
      </c>
      <c r="S31" s="188">
        <f t="shared" si="16"/>
        <v>0</v>
      </c>
      <c r="T31" s="58">
        <f t="shared" si="16"/>
        <v>0</v>
      </c>
      <c r="U31" s="188">
        <f t="shared" si="16"/>
        <v>0</v>
      </c>
      <c r="V31" s="58">
        <f t="shared" si="16"/>
        <v>0</v>
      </c>
      <c r="W31" s="188">
        <f t="shared" si="16"/>
        <v>0</v>
      </c>
      <c r="X31" s="58">
        <f t="shared" si="16"/>
        <v>0</v>
      </c>
      <c r="Y31" s="58">
        <f t="shared" si="16"/>
        <v>30</v>
      </c>
      <c r="Z31" s="58">
        <f t="shared" si="16"/>
        <v>0</v>
      </c>
      <c r="AA31" s="58">
        <f t="shared" si="16"/>
        <v>30</v>
      </c>
      <c r="AB31" s="58">
        <f t="shared" si="16"/>
        <v>0</v>
      </c>
      <c r="AC31" s="58">
        <f t="shared" si="16"/>
        <v>0</v>
      </c>
      <c r="AD31" s="58">
        <f t="shared" si="16"/>
        <v>30</v>
      </c>
      <c r="AE31" s="58">
        <f t="shared" si="16"/>
        <v>0</v>
      </c>
    </row>
    <row r="32" spans="1:31" ht="21.75" customHeight="1">
      <c r="A32" s="52" t="s">
        <v>117</v>
      </c>
      <c r="B32" s="53"/>
      <c r="C32" s="54"/>
      <c r="D32" s="53"/>
      <c r="E32" s="53"/>
      <c r="F32" s="53"/>
      <c r="G32" s="55"/>
      <c r="H32" s="55"/>
      <c r="I32" s="55"/>
      <c r="J32" s="55"/>
      <c r="K32" s="55"/>
      <c r="L32" s="55"/>
      <c r="M32" s="55"/>
      <c r="N32" s="55"/>
      <c r="O32" s="55"/>
      <c r="P32" s="55"/>
      <c r="Q32" s="55"/>
      <c r="R32" s="55"/>
      <c r="S32" s="195"/>
      <c r="T32" s="55"/>
      <c r="U32" s="55"/>
      <c r="V32" s="55"/>
      <c r="W32" s="55"/>
      <c r="X32" s="55"/>
      <c r="Y32" s="55"/>
      <c r="Z32" s="55"/>
      <c r="AA32" s="55"/>
      <c r="AB32" s="55"/>
      <c r="AC32" s="55"/>
      <c r="AD32" s="55"/>
      <c r="AE32" s="56"/>
    </row>
    <row r="33" spans="1:31" ht="30" customHeight="1">
      <c r="A33" s="169">
        <v>16</v>
      </c>
      <c r="B33" s="559" t="s">
        <v>118</v>
      </c>
      <c r="C33" s="560"/>
      <c r="D33" s="48"/>
      <c r="E33" s="49">
        <v>7</v>
      </c>
      <c r="F33" s="49"/>
      <c r="G33" s="160">
        <v>15</v>
      </c>
      <c r="H33" s="187">
        <v>10</v>
      </c>
      <c r="I33" s="160"/>
      <c r="J33" s="187"/>
      <c r="K33" s="160"/>
      <c r="L33" s="187"/>
      <c r="M33" s="160"/>
      <c r="N33" s="187"/>
      <c r="O33" s="160">
        <v>1</v>
      </c>
      <c r="P33" s="163"/>
      <c r="Q33" s="190"/>
      <c r="R33" s="163"/>
      <c r="S33" s="190"/>
      <c r="T33" s="163"/>
      <c r="U33" s="190"/>
      <c r="V33" s="163"/>
      <c r="W33" s="190"/>
      <c r="X33" s="163"/>
      <c r="Y33" s="113">
        <f>SUM(Z33:AC33)</f>
        <v>15</v>
      </c>
      <c r="Z33" s="50">
        <f t="shared" ref="Z33:Z38" si="17">SUM(G33,P33)</f>
        <v>15</v>
      </c>
      <c r="AA33" s="50">
        <f t="shared" ref="AA33:AA38" si="18">SUM(I33,R33)</f>
        <v>0</v>
      </c>
      <c r="AB33" s="50">
        <f>SUM(K33,T33)</f>
        <v>0</v>
      </c>
      <c r="AC33" s="50">
        <f>SUM(M33,V33)</f>
        <v>0</v>
      </c>
      <c r="AD33" s="50">
        <f t="shared" ref="AD33:AD38" si="19">SUM(G33:N33,P33:W33)</f>
        <v>25</v>
      </c>
      <c r="AE33" s="50">
        <f t="shared" ref="AE33:AE38" si="20">SUM(O33,X33)</f>
        <v>1</v>
      </c>
    </row>
    <row r="34" spans="1:31" ht="30" customHeight="1">
      <c r="A34" s="169" t="s">
        <v>144</v>
      </c>
      <c r="B34" s="559" t="s">
        <v>118</v>
      </c>
      <c r="C34" s="560"/>
      <c r="D34" s="48"/>
      <c r="E34" s="49">
        <v>7</v>
      </c>
      <c r="F34" s="49"/>
      <c r="G34" s="160">
        <v>15</v>
      </c>
      <c r="H34" s="187">
        <v>10</v>
      </c>
      <c r="I34" s="160"/>
      <c r="J34" s="187"/>
      <c r="K34" s="160"/>
      <c r="L34" s="187"/>
      <c r="M34" s="160"/>
      <c r="N34" s="187"/>
      <c r="O34" s="160">
        <v>1</v>
      </c>
      <c r="P34" s="163"/>
      <c r="Q34" s="190"/>
      <c r="R34" s="163"/>
      <c r="S34" s="190"/>
      <c r="T34" s="163"/>
      <c r="U34" s="190"/>
      <c r="V34" s="163"/>
      <c r="W34" s="190"/>
      <c r="X34" s="163"/>
      <c r="Y34" s="113">
        <f t="shared" ref="Y34:Y38" si="21">SUM(Z34:AC34)</f>
        <v>15</v>
      </c>
      <c r="Z34" s="50">
        <f t="shared" si="17"/>
        <v>15</v>
      </c>
      <c r="AA34" s="50">
        <f t="shared" si="18"/>
        <v>0</v>
      </c>
      <c r="AB34" s="50">
        <f t="shared" ref="AB34:AB38" si="22">SUM(K34,T34)</f>
        <v>0</v>
      </c>
      <c r="AC34" s="50">
        <f t="shared" ref="AC34:AC38" si="23">SUM(M34,V34)</f>
        <v>0</v>
      </c>
      <c r="AD34" s="50">
        <f t="shared" si="19"/>
        <v>25</v>
      </c>
      <c r="AE34" s="50">
        <f t="shared" si="20"/>
        <v>1</v>
      </c>
    </row>
    <row r="35" spans="1:31" ht="30" customHeight="1">
      <c r="A35" s="169" t="s">
        <v>152</v>
      </c>
      <c r="B35" s="559" t="s">
        <v>118</v>
      </c>
      <c r="C35" s="560"/>
      <c r="D35" s="48"/>
      <c r="E35" s="49">
        <v>7</v>
      </c>
      <c r="F35" s="49"/>
      <c r="G35" s="177"/>
      <c r="H35" s="177"/>
      <c r="I35" s="395">
        <v>15</v>
      </c>
      <c r="J35" s="413">
        <v>10</v>
      </c>
      <c r="K35" s="177"/>
      <c r="L35" s="177"/>
      <c r="M35" s="177"/>
      <c r="N35" s="177"/>
      <c r="O35" s="395">
        <v>1</v>
      </c>
      <c r="P35" s="163"/>
      <c r="Q35" s="190"/>
      <c r="R35" s="163"/>
      <c r="S35" s="190"/>
      <c r="T35" s="163"/>
      <c r="U35" s="190"/>
      <c r="V35" s="163"/>
      <c r="W35" s="190"/>
      <c r="X35" s="163"/>
      <c r="Y35" s="113">
        <f t="shared" si="21"/>
        <v>15</v>
      </c>
      <c r="Z35" s="50">
        <f t="shared" si="17"/>
        <v>0</v>
      </c>
      <c r="AA35" s="50">
        <f t="shared" si="18"/>
        <v>15</v>
      </c>
      <c r="AB35" s="50">
        <f t="shared" si="22"/>
        <v>0</v>
      </c>
      <c r="AC35" s="50">
        <f t="shared" si="23"/>
        <v>0</v>
      </c>
      <c r="AD35" s="50">
        <f t="shared" si="19"/>
        <v>25</v>
      </c>
      <c r="AE35" s="50">
        <f t="shared" si="20"/>
        <v>1</v>
      </c>
    </row>
    <row r="36" spans="1:31" ht="30" customHeight="1">
      <c r="A36" s="169" t="s">
        <v>153</v>
      </c>
      <c r="B36" s="559" t="s">
        <v>118</v>
      </c>
      <c r="C36" s="560"/>
      <c r="D36" s="48"/>
      <c r="E36" s="49">
        <v>8</v>
      </c>
      <c r="F36" s="49"/>
      <c r="G36" s="160"/>
      <c r="H36" s="187"/>
      <c r="I36" s="160"/>
      <c r="J36" s="187"/>
      <c r="K36" s="160"/>
      <c r="L36" s="187"/>
      <c r="M36" s="160"/>
      <c r="N36" s="187"/>
      <c r="O36" s="160"/>
      <c r="P36" s="163">
        <v>15</v>
      </c>
      <c r="Q36" s="190">
        <v>10</v>
      </c>
      <c r="R36" s="163"/>
      <c r="S36" s="190"/>
      <c r="T36" s="163"/>
      <c r="U36" s="190"/>
      <c r="V36" s="163"/>
      <c r="W36" s="190"/>
      <c r="X36" s="163">
        <v>1</v>
      </c>
      <c r="Y36" s="113">
        <f t="shared" si="21"/>
        <v>15</v>
      </c>
      <c r="Z36" s="50">
        <f t="shared" si="17"/>
        <v>15</v>
      </c>
      <c r="AA36" s="50">
        <f t="shared" si="18"/>
        <v>0</v>
      </c>
      <c r="AB36" s="50">
        <f t="shared" si="22"/>
        <v>0</v>
      </c>
      <c r="AC36" s="50">
        <f t="shared" si="23"/>
        <v>0</v>
      </c>
      <c r="AD36" s="50">
        <f t="shared" si="19"/>
        <v>25</v>
      </c>
      <c r="AE36" s="50">
        <f t="shared" si="20"/>
        <v>1</v>
      </c>
    </row>
    <row r="37" spans="1:31" s="35" customFormat="1" ht="30" customHeight="1">
      <c r="A37" s="409" t="s">
        <v>154</v>
      </c>
      <c r="B37" s="557" t="s">
        <v>118</v>
      </c>
      <c r="C37" s="558"/>
      <c r="D37" s="401"/>
      <c r="E37" s="399">
        <v>8</v>
      </c>
      <c r="F37" s="357"/>
      <c r="G37" s="177"/>
      <c r="H37" s="177"/>
      <c r="I37" s="177"/>
      <c r="J37" s="177"/>
      <c r="K37" s="177"/>
      <c r="L37" s="177"/>
      <c r="M37" s="177"/>
      <c r="N37" s="177"/>
      <c r="O37" s="177"/>
      <c r="P37" s="394">
        <v>15</v>
      </c>
      <c r="Q37" s="190">
        <v>10</v>
      </c>
      <c r="R37" s="348"/>
      <c r="S37" s="348"/>
      <c r="T37" s="348"/>
      <c r="U37" s="348"/>
      <c r="V37" s="348"/>
      <c r="W37" s="348"/>
      <c r="X37" s="394">
        <v>1</v>
      </c>
      <c r="Y37" s="113">
        <f t="shared" si="21"/>
        <v>15</v>
      </c>
      <c r="Z37" s="402">
        <f t="shared" si="17"/>
        <v>15</v>
      </c>
      <c r="AA37" s="402">
        <f t="shared" si="18"/>
        <v>0</v>
      </c>
      <c r="AB37" s="402">
        <f t="shared" si="22"/>
        <v>0</v>
      </c>
      <c r="AC37" s="402">
        <f t="shared" si="23"/>
        <v>0</v>
      </c>
      <c r="AD37" s="402">
        <f t="shared" si="19"/>
        <v>25</v>
      </c>
      <c r="AE37" s="402">
        <f t="shared" si="20"/>
        <v>1</v>
      </c>
    </row>
    <row r="38" spans="1:31" s="35" customFormat="1" ht="30" customHeight="1">
      <c r="A38" s="409" t="s">
        <v>155</v>
      </c>
      <c r="B38" s="557" t="s">
        <v>118</v>
      </c>
      <c r="C38" s="558"/>
      <c r="D38" s="401"/>
      <c r="E38" s="399">
        <v>8</v>
      </c>
      <c r="F38" s="357"/>
      <c r="G38" s="177"/>
      <c r="H38" s="177"/>
      <c r="I38" s="177"/>
      <c r="J38" s="177"/>
      <c r="K38" s="177"/>
      <c r="L38" s="177"/>
      <c r="M38" s="177"/>
      <c r="N38" s="177"/>
      <c r="O38" s="177"/>
      <c r="P38" s="348"/>
      <c r="Q38" s="348"/>
      <c r="R38" s="394">
        <v>15</v>
      </c>
      <c r="S38" s="424">
        <v>10</v>
      </c>
      <c r="T38" s="348"/>
      <c r="U38" s="348"/>
      <c r="V38" s="348"/>
      <c r="W38" s="348"/>
      <c r="X38" s="394">
        <v>1</v>
      </c>
      <c r="Y38" s="113">
        <f t="shared" si="21"/>
        <v>15</v>
      </c>
      <c r="Z38" s="402">
        <f t="shared" si="17"/>
        <v>0</v>
      </c>
      <c r="AA38" s="402">
        <f t="shared" si="18"/>
        <v>15</v>
      </c>
      <c r="AB38" s="402">
        <f t="shared" si="22"/>
        <v>0</v>
      </c>
      <c r="AC38" s="402">
        <f t="shared" si="23"/>
        <v>0</v>
      </c>
      <c r="AD38" s="402">
        <f t="shared" si="19"/>
        <v>25</v>
      </c>
      <c r="AE38" s="402">
        <f t="shared" si="20"/>
        <v>1</v>
      </c>
    </row>
    <row r="39" spans="1:31" ht="28.5" customHeight="1" thickBot="1">
      <c r="A39" s="514" t="s">
        <v>9</v>
      </c>
      <c r="B39" s="515"/>
      <c r="C39" s="516"/>
      <c r="D39" s="51"/>
      <c r="E39" s="104"/>
      <c r="F39" s="104"/>
      <c r="G39" s="58">
        <f t="shared" ref="G39:AE39" si="24">SUM(G33:G38)</f>
        <v>30</v>
      </c>
      <c r="H39" s="188">
        <f t="shared" si="24"/>
        <v>20</v>
      </c>
      <c r="I39" s="58">
        <f t="shared" si="24"/>
        <v>15</v>
      </c>
      <c r="J39" s="188">
        <f t="shared" si="24"/>
        <v>10</v>
      </c>
      <c r="K39" s="58">
        <f t="shared" si="24"/>
        <v>0</v>
      </c>
      <c r="L39" s="188">
        <f t="shared" si="24"/>
        <v>0</v>
      </c>
      <c r="M39" s="58">
        <f t="shared" si="24"/>
        <v>0</v>
      </c>
      <c r="N39" s="188">
        <f t="shared" si="24"/>
        <v>0</v>
      </c>
      <c r="O39" s="58">
        <f t="shared" si="24"/>
        <v>3</v>
      </c>
      <c r="P39" s="58">
        <f t="shared" si="24"/>
        <v>30</v>
      </c>
      <c r="Q39" s="188">
        <f t="shared" si="24"/>
        <v>20</v>
      </c>
      <c r="R39" s="58">
        <f t="shared" si="24"/>
        <v>15</v>
      </c>
      <c r="S39" s="188">
        <f t="shared" si="24"/>
        <v>10</v>
      </c>
      <c r="T39" s="58">
        <f t="shared" si="24"/>
        <v>0</v>
      </c>
      <c r="U39" s="188">
        <f t="shared" si="24"/>
        <v>0</v>
      </c>
      <c r="V39" s="58">
        <f t="shared" si="24"/>
        <v>0</v>
      </c>
      <c r="W39" s="188">
        <f t="shared" si="24"/>
        <v>0</v>
      </c>
      <c r="X39" s="58">
        <f t="shared" si="24"/>
        <v>3</v>
      </c>
      <c r="Y39" s="58">
        <f t="shared" si="24"/>
        <v>90</v>
      </c>
      <c r="Z39" s="58">
        <f t="shared" si="24"/>
        <v>60</v>
      </c>
      <c r="AA39" s="58">
        <f t="shared" si="24"/>
        <v>30</v>
      </c>
      <c r="AB39" s="58">
        <f t="shared" si="24"/>
        <v>0</v>
      </c>
      <c r="AC39" s="58">
        <f t="shared" si="24"/>
        <v>0</v>
      </c>
      <c r="AD39" s="58">
        <f t="shared" si="24"/>
        <v>150</v>
      </c>
      <c r="AE39" s="58">
        <f t="shared" si="24"/>
        <v>6</v>
      </c>
    </row>
    <row r="40" spans="1:31" ht="27" customHeight="1" thickBot="1">
      <c r="A40" s="468" t="s">
        <v>21</v>
      </c>
      <c r="B40" s="469"/>
      <c r="C40" s="470"/>
      <c r="D40" s="65"/>
      <c r="E40" s="65"/>
      <c r="F40" s="65"/>
      <c r="G40" s="66">
        <f t="shared" ref="G40:Q40" si="25">SUM(G19,G24,G28,G31,G39)</f>
        <v>165</v>
      </c>
      <c r="H40" s="193">
        <f t="shared" si="25"/>
        <v>135</v>
      </c>
      <c r="I40" s="66">
        <f t="shared" si="25"/>
        <v>155</v>
      </c>
      <c r="J40" s="193">
        <f t="shared" si="25"/>
        <v>140</v>
      </c>
      <c r="K40" s="66">
        <f t="shared" si="25"/>
        <v>195</v>
      </c>
      <c r="L40" s="193">
        <f t="shared" si="25"/>
        <v>0</v>
      </c>
      <c r="M40" s="66">
        <f t="shared" si="25"/>
        <v>0</v>
      </c>
      <c r="N40" s="193">
        <f t="shared" si="25"/>
        <v>0</v>
      </c>
      <c r="O40" s="66">
        <f t="shared" si="25"/>
        <v>31</v>
      </c>
      <c r="P40" s="66">
        <f t="shared" si="25"/>
        <v>145</v>
      </c>
      <c r="Q40" s="193">
        <f t="shared" si="25"/>
        <v>120</v>
      </c>
      <c r="R40" s="66">
        <f t="shared" ref="R40:AE40" si="26">SUM(R19,R24,R28,R31,R39)</f>
        <v>280</v>
      </c>
      <c r="S40" s="193">
        <f t="shared" si="26"/>
        <v>105</v>
      </c>
      <c r="T40" s="66">
        <f t="shared" si="26"/>
        <v>110</v>
      </c>
      <c r="U40" s="193">
        <f t="shared" si="26"/>
        <v>0</v>
      </c>
      <c r="V40" s="66">
        <f t="shared" si="26"/>
        <v>0</v>
      </c>
      <c r="W40" s="193">
        <f t="shared" si="26"/>
        <v>0</v>
      </c>
      <c r="X40" s="66">
        <f t="shared" si="26"/>
        <v>29</v>
      </c>
      <c r="Y40" s="66">
        <f t="shared" si="26"/>
        <v>1050</v>
      </c>
      <c r="Z40" s="66">
        <f t="shared" si="26"/>
        <v>310</v>
      </c>
      <c r="AA40" s="66">
        <f t="shared" si="26"/>
        <v>435</v>
      </c>
      <c r="AB40" s="66">
        <f t="shared" si="26"/>
        <v>305</v>
      </c>
      <c r="AC40" s="66">
        <f t="shared" si="26"/>
        <v>0</v>
      </c>
      <c r="AD40" s="66">
        <f t="shared" si="26"/>
        <v>1550</v>
      </c>
      <c r="AE40" s="66">
        <f t="shared" si="26"/>
        <v>60</v>
      </c>
    </row>
    <row r="41" spans="1:31">
      <c r="A41" s="7"/>
      <c r="B41" s="19"/>
      <c r="C41" s="3"/>
    </row>
    <row r="42" spans="1:31">
      <c r="A42" s="7"/>
      <c r="B42" s="19"/>
      <c r="C42" s="3"/>
    </row>
    <row r="43" spans="1:31">
      <c r="A43" s="7"/>
      <c r="B43" s="19"/>
      <c r="C43" s="3"/>
    </row>
    <row r="44" spans="1:31">
      <c r="A44" s="7"/>
      <c r="B44" s="19"/>
      <c r="C44" s="3"/>
    </row>
    <row r="45" spans="1:31" s="1" customFormat="1" ht="18.75">
      <c r="A45" s="563" t="s">
        <v>316</v>
      </c>
      <c r="B45" s="563"/>
      <c r="C45" s="563"/>
      <c r="D45" s="563"/>
      <c r="E45" s="563"/>
      <c r="F45" s="563"/>
      <c r="G45" s="563"/>
      <c r="H45" s="563"/>
      <c r="I45" s="563"/>
      <c r="J45" s="563"/>
      <c r="K45" s="563"/>
      <c r="L45" s="563"/>
      <c r="M45" s="563"/>
      <c r="N45" s="563"/>
      <c r="O45" s="563"/>
      <c r="P45" s="563"/>
      <c r="Q45" s="563"/>
      <c r="R45" s="563"/>
      <c r="S45" s="563"/>
      <c r="T45" s="563"/>
      <c r="U45" s="563"/>
      <c r="V45" s="563"/>
      <c r="W45" s="563"/>
      <c r="X45" s="563"/>
      <c r="Y45" s="563"/>
      <c r="Z45" s="563"/>
      <c r="AA45" s="563"/>
      <c r="AB45" s="563"/>
      <c r="AC45" s="563"/>
      <c r="AD45" s="563"/>
      <c r="AE45" s="563"/>
    </row>
    <row r="46" spans="1:31" ht="30.75" customHeight="1">
      <c r="A46" s="169" t="s">
        <v>208</v>
      </c>
      <c r="B46" s="179" t="s">
        <v>160</v>
      </c>
      <c r="C46" s="47" t="str">
        <f>"0912-7LEK-F"&amp;A46&amp;"-"&amp;UPPER(LEFT(B46,1))</f>
        <v>0912-7LEK-F26-F</v>
      </c>
      <c r="D46" s="127"/>
      <c r="E46" s="129">
        <v>7</v>
      </c>
      <c r="F46" s="129"/>
      <c r="G46" s="160">
        <v>15</v>
      </c>
      <c r="H46" s="187">
        <v>10</v>
      </c>
      <c r="I46" s="160"/>
      <c r="J46" s="187"/>
      <c r="K46" s="160"/>
      <c r="L46" s="160"/>
      <c r="M46" s="160"/>
      <c r="N46" s="160"/>
      <c r="O46" s="160">
        <v>1</v>
      </c>
      <c r="P46" s="163"/>
      <c r="Q46" s="190"/>
      <c r="R46" s="163"/>
      <c r="S46" s="190"/>
      <c r="T46" s="163"/>
      <c r="U46" s="163"/>
      <c r="V46" s="163"/>
      <c r="W46" s="163"/>
      <c r="X46" s="163"/>
      <c r="Y46" s="113">
        <f t="shared" ref="Y46:Y55" si="27">SUM(G46,I46,K46,M46,P46,R46,T46,V46)</f>
        <v>15</v>
      </c>
      <c r="Z46" s="50">
        <f t="shared" ref="Z46:Z55" si="28">SUM(G46,P46)</f>
        <v>15</v>
      </c>
      <c r="AA46" s="50">
        <f t="shared" ref="AA46:AA55" si="29">SUM(I46,R46)</f>
        <v>0</v>
      </c>
      <c r="AB46" s="50">
        <f t="shared" ref="AB46:AB55" si="30">SUM(J46,S46)</f>
        <v>0</v>
      </c>
      <c r="AC46" s="50">
        <f t="shared" ref="AC46:AC55" si="31">SUM(N46,W46)</f>
        <v>0</v>
      </c>
      <c r="AD46" s="50">
        <f t="shared" ref="AD46:AD55" si="32">SUM(G46:N46,P46:W46)</f>
        <v>25</v>
      </c>
      <c r="AE46" s="50">
        <f t="shared" ref="AE46:AE55" si="33">SUM(O46,X46)</f>
        <v>1</v>
      </c>
    </row>
    <row r="47" spans="1:31" ht="30.75" customHeight="1">
      <c r="A47" s="169" t="s">
        <v>209</v>
      </c>
      <c r="B47" s="179" t="s">
        <v>161</v>
      </c>
      <c r="C47" s="47" t="str">
        <f t="shared" ref="C47:C55" si="34">"0912-7LEK-F"&amp;A47&amp;"-"&amp;UPPER(LEFT(B47,1))</f>
        <v>0912-7LEK-F27-Z</v>
      </c>
      <c r="D47" s="127"/>
      <c r="E47" s="129">
        <v>7</v>
      </c>
      <c r="F47" s="129"/>
      <c r="G47" s="160">
        <v>15</v>
      </c>
      <c r="H47" s="187">
        <v>10</v>
      </c>
      <c r="I47" s="395"/>
      <c r="J47" s="177"/>
      <c r="K47" s="160"/>
      <c r="L47" s="160"/>
      <c r="M47" s="160"/>
      <c r="N47" s="160"/>
      <c r="O47" s="160">
        <v>1</v>
      </c>
      <c r="P47" s="394"/>
      <c r="Q47" s="190"/>
      <c r="R47" s="163"/>
      <c r="S47" s="190"/>
      <c r="T47" s="163"/>
      <c r="U47" s="163"/>
      <c r="V47" s="163"/>
      <c r="W47" s="163"/>
      <c r="X47" s="163"/>
      <c r="Y47" s="113">
        <f t="shared" si="27"/>
        <v>15</v>
      </c>
      <c r="Z47" s="50">
        <f t="shared" si="28"/>
        <v>15</v>
      </c>
      <c r="AA47" s="50">
        <f t="shared" si="29"/>
        <v>0</v>
      </c>
      <c r="AB47" s="50">
        <f t="shared" si="30"/>
        <v>0</v>
      </c>
      <c r="AC47" s="50">
        <f t="shared" si="31"/>
        <v>0</v>
      </c>
      <c r="AD47" s="50">
        <f t="shared" si="32"/>
        <v>25</v>
      </c>
      <c r="AE47" s="50">
        <f t="shared" si="33"/>
        <v>1</v>
      </c>
    </row>
    <row r="48" spans="1:31" ht="30.75" customHeight="1">
      <c r="A48" s="169" t="s">
        <v>210</v>
      </c>
      <c r="B48" s="460" t="s">
        <v>330</v>
      </c>
      <c r="C48" s="47" t="s">
        <v>331</v>
      </c>
      <c r="D48" s="390"/>
      <c r="E48" s="391">
        <v>7</v>
      </c>
      <c r="F48" s="391"/>
      <c r="G48" s="160"/>
      <c r="H48" s="187"/>
      <c r="I48" s="395">
        <v>15</v>
      </c>
      <c r="J48" s="187">
        <v>10</v>
      </c>
      <c r="K48" s="160"/>
      <c r="L48" s="160"/>
      <c r="M48" s="160"/>
      <c r="N48" s="160"/>
      <c r="O48" s="160">
        <v>1</v>
      </c>
      <c r="P48" s="394"/>
      <c r="Q48" s="190"/>
      <c r="R48" s="163"/>
      <c r="S48" s="190"/>
      <c r="T48" s="163"/>
      <c r="U48" s="163"/>
      <c r="V48" s="163"/>
      <c r="W48" s="163"/>
      <c r="X48" s="163"/>
      <c r="Y48" s="113">
        <v>15</v>
      </c>
      <c r="Z48" s="50">
        <v>0</v>
      </c>
      <c r="AA48" s="50">
        <v>15</v>
      </c>
      <c r="AB48" s="50">
        <v>10</v>
      </c>
      <c r="AC48" s="50">
        <v>0</v>
      </c>
      <c r="AD48" s="50">
        <v>25</v>
      </c>
      <c r="AE48" s="50">
        <v>1</v>
      </c>
    </row>
    <row r="49" spans="1:75" ht="30.75" customHeight="1">
      <c r="A49" s="169" t="s">
        <v>211</v>
      </c>
      <c r="B49" s="179" t="s">
        <v>156</v>
      </c>
      <c r="C49" s="47" t="str">
        <f t="shared" ref="C49:C53" si="35">"0912-7LEK-F"&amp;A49&amp;"-"&amp;UPPER(LEFT(B49,1))</f>
        <v>0912-7LEK-F29-C</v>
      </c>
      <c r="D49" s="127"/>
      <c r="E49" s="399">
        <v>8</v>
      </c>
      <c r="F49" s="129"/>
      <c r="G49" s="177"/>
      <c r="H49" s="177"/>
      <c r="I49" s="395"/>
      <c r="J49" s="187"/>
      <c r="K49" s="160"/>
      <c r="L49" s="160"/>
      <c r="M49" s="160"/>
      <c r="N49" s="160"/>
      <c r="O49" s="160"/>
      <c r="P49" s="394">
        <v>15</v>
      </c>
      <c r="Q49" s="190">
        <v>10</v>
      </c>
      <c r="R49" s="163"/>
      <c r="S49" s="190"/>
      <c r="T49" s="163"/>
      <c r="U49" s="163"/>
      <c r="V49" s="163"/>
      <c r="W49" s="163"/>
      <c r="X49" s="163">
        <v>1</v>
      </c>
      <c r="Y49" s="113">
        <f t="shared" si="27"/>
        <v>15</v>
      </c>
      <c r="Z49" s="50">
        <f t="shared" si="28"/>
        <v>15</v>
      </c>
      <c r="AA49" s="50">
        <f t="shared" si="29"/>
        <v>0</v>
      </c>
      <c r="AB49" s="50">
        <f t="shared" si="30"/>
        <v>0</v>
      </c>
      <c r="AC49" s="50">
        <f t="shared" si="31"/>
        <v>0</v>
      </c>
      <c r="AD49" s="50">
        <f t="shared" si="32"/>
        <v>25</v>
      </c>
      <c r="AE49" s="50">
        <f t="shared" si="33"/>
        <v>1</v>
      </c>
    </row>
    <row r="50" spans="1:75" ht="30.75" customHeight="1">
      <c r="A50" s="169" t="s">
        <v>254</v>
      </c>
      <c r="B50" s="179" t="s">
        <v>157</v>
      </c>
      <c r="C50" s="47" t="str">
        <f t="shared" si="35"/>
        <v>0912-7LEK-F30-P</v>
      </c>
      <c r="D50" s="127"/>
      <c r="E50" s="399">
        <v>8</v>
      </c>
      <c r="F50" s="129"/>
      <c r="G50" s="160"/>
      <c r="H50" s="187"/>
      <c r="I50" s="395"/>
      <c r="J50" s="187"/>
      <c r="K50" s="160"/>
      <c r="L50" s="160"/>
      <c r="M50" s="160"/>
      <c r="N50" s="160"/>
      <c r="O50" s="160"/>
      <c r="P50" s="394"/>
      <c r="Q50" s="190"/>
      <c r="R50" s="163">
        <v>15</v>
      </c>
      <c r="S50" s="190">
        <v>10</v>
      </c>
      <c r="T50" s="163"/>
      <c r="U50" s="163"/>
      <c r="V50" s="163"/>
      <c r="W50" s="163"/>
      <c r="X50" s="163">
        <v>1</v>
      </c>
      <c r="Y50" s="113">
        <f t="shared" si="27"/>
        <v>15</v>
      </c>
      <c r="Z50" s="50">
        <f t="shared" si="28"/>
        <v>0</v>
      </c>
      <c r="AA50" s="50">
        <f t="shared" si="29"/>
        <v>15</v>
      </c>
      <c r="AB50" s="50">
        <f t="shared" si="30"/>
        <v>10</v>
      </c>
      <c r="AC50" s="50">
        <f t="shared" si="31"/>
        <v>0</v>
      </c>
      <c r="AD50" s="50">
        <f t="shared" si="32"/>
        <v>25</v>
      </c>
      <c r="AE50" s="50">
        <f t="shared" si="33"/>
        <v>1</v>
      </c>
    </row>
    <row r="51" spans="1:75" ht="30.75" customHeight="1">
      <c r="A51" s="169" t="s">
        <v>212</v>
      </c>
      <c r="B51" s="179" t="s">
        <v>158</v>
      </c>
      <c r="C51" s="47" t="str">
        <f t="shared" si="35"/>
        <v>0912-7LEK-F31-T</v>
      </c>
      <c r="D51" s="127"/>
      <c r="E51" s="399">
        <v>8</v>
      </c>
      <c r="F51" s="129"/>
      <c r="G51" s="160"/>
      <c r="H51" s="187"/>
      <c r="I51" s="395"/>
      <c r="J51" s="187"/>
      <c r="K51" s="160"/>
      <c r="L51" s="160"/>
      <c r="M51" s="160"/>
      <c r="N51" s="160"/>
      <c r="O51" s="160"/>
      <c r="P51" s="163">
        <v>15</v>
      </c>
      <c r="Q51" s="190">
        <v>10</v>
      </c>
      <c r="R51" s="163"/>
      <c r="S51" s="190"/>
      <c r="T51" s="163"/>
      <c r="U51" s="163"/>
      <c r="V51" s="163"/>
      <c r="W51" s="163"/>
      <c r="X51" s="163">
        <v>1</v>
      </c>
      <c r="Y51" s="113">
        <f t="shared" si="27"/>
        <v>15</v>
      </c>
      <c r="Z51" s="50">
        <f t="shared" si="28"/>
        <v>15</v>
      </c>
      <c r="AA51" s="50">
        <f t="shared" si="29"/>
        <v>0</v>
      </c>
      <c r="AB51" s="50">
        <f t="shared" si="30"/>
        <v>0</v>
      </c>
      <c r="AC51" s="50">
        <f t="shared" si="31"/>
        <v>0</v>
      </c>
      <c r="AD51" s="50">
        <f t="shared" si="32"/>
        <v>25</v>
      </c>
      <c r="AE51" s="50">
        <f t="shared" si="33"/>
        <v>1</v>
      </c>
    </row>
    <row r="52" spans="1:75" ht="30.75" customHeight="1">
      <c r="A52" s="169" t="s">
        <v>213</v>
      </c>
      <c r="B52" s="460" t="s">
        <v>328</v>
      </c>
      <c r="C52" s="47" t="str">
        <f>"0912-7LEK-F"&amp;A52&amp;"-"&amp;UPPER(LEFT(B52,1))</f>
        <v>0912-7LEK-F32-D</v>
      </c>
      <c r="D52" s="356"/>
      <c r="E52" s="399">
        <v>8</v>
      </c>
      <c r="F52" s="357"/>
      <c r="G52" s="177"/>
      <c r="H52" s="177"/>
      <c r="I52" s="395"/>
      <c r="J52" s="187"/>
      <c r="K52" s="177"/>
      <c r="L52" s="177"/>
      <c r="M52" s="177"/>
      <c r="N52" s="177"/>
      <c r="O52" s="177"/>
      <c r="P52" s="348"/>
      <c r="Q52" s="348"/>
      <c r="R52" s="394">
        <v>15</v>
      </c>
      <c r="S52" s="190">
        <v>10</v>
      </c>
      <c r="T52" s="348"/>
      <c r="U52" s="348"/>
      <c r="V52" s="348"/>
      <c r="W52" s="348"/>
      <c r="X52" s="394">
        <v>1</v>
      </c>
      <c r="Y52" s="113">
        <f t="shared" si="27"/>
        <v>15</v>
      </c>
      <c r="Z52" s="50">
        <f t="shared" si="28"/>
        <v>0</v>
      </c>
      <c r="AA52" s="50">
        <f t="shared" si="29"/>
        <v>15</v>
      </c>
      <c r="AB52" s="50">
        <f t="shared" si="30"/>
        <v>10</v>
      </c>
      <c r="AC52" s="50">
        <f t="shared" si="31"/>
        <v>0</v>
      </c>
      <c r="AD52" s="50">
        <f t="shared" si="32"/>
        <v>25</v>
      </c>
      <c r="AE52" s="50">
        <f t="shared" si="33"/>
        <v>1</v>
      </c>
      <c r="AF52" s="35"/>
      <c r="AG52" s="35"/>
      <c r="AH52" s="35"/>
      <c r="AI52" s="35"/>
      <c r="AJ52" s="35"/>
      <c r="AK52" s="35"/>
      <c r="AL52" s="35"/>
      <c r="AM52" s="35"/>
      <c r="AN52" s="35"/>
      <c r="AO52" s="35"/>
      <c r="AP52" s="35"/>
      <c r="AQ52" s="35"/>
      <c r="AR52" s="35"/>
      <c r="AS52" s="35"/>
      <c r="AT52" s="35"/>
      <c r="AU52" s="35"/>
      <c r="AV52" s="35"/>
      <c r="AW52" s="35"/>
      <c r="AX52" s="35"/>
      <c r="AY52" s="35"/>
      <c r="AZ52" s="35"/>
      <c r="BA52" s="35"/>
      <c r="BB52" s="35"/>
      <c r="BC52" s="35"/>
      <c r="BD52" s="35"/>
      <c r="BE52" s="35"/>
      <c r="BF52" s="35"/>
      <c r="BG52" s="35"/>
      <c r="BH52" s="35"/>
      <c r="BI52" s="35"/>
      <c r="BJ52" s="35"/>
      <c r="BK52" s="35"/>
      <c r="BL52" s="35"/>
      <c r="BM52" s="35"/>
      <c r="BN52" s="35"/>
      <c r="BO52" s="35"/>
      <c r="BP52" s="35"/>
      <c r="BQ52" s="35"/>
      <c r="BR52" s="35"/>
      <c r="BS52" s="35"/>
      <c r="BT52" s="35"/>
      <c r="BU52" s="35"/>
      <c r="BV52" s="35"/>
      <c r="BW52" s="35"/>
    </row>
    <row r="53" spans="1:75" ht="30.75" customHeight="1">
      <c r="A53" s="169" t="s">
        <v>215</v>
      </c>
      <c r="B53" s="179" t="s">
        <v>162</v>
      </c>
      <c r="C53" s="47" t="str">
        <f t="shared" si="35"/>
        <v>0912-7LEK-F34-C</v>
      </c>
      <c r="D53" s="127"/>
      <c r="E53" s="129">
        <v>8</v>
      </c>
      <c r="F53" s="129"/>
      <c r="G53" s="187"/>
      <c r="H53" s="160"/>
      <c r="I53" s="395">
        <v>15</v>
      </c>
      <c r="J53" s="187">
        <v>10</v>
      </c>
      <c r="K53" s="187"/>
      <c r="L53" s="160"/>
      <c r="M53" s="160"/>
      <c r="N53" s="160"/>
      <c r="O53" s="160">
        <v>1</v>
      </c>
      <c r="P53" s="163"/>
      <c r="Q53" s="190"/>
      <c r="R53" s="163"/>
      <c r="S53" s="190"/>
      <c r="T53" s="163"/>
      <c r="U53" s="163"/>
      <c r="V53" s="163"/>
      <c r="W53" s="163"/>
      <c r="X53" s="163"/>
      <c r="Y53" s="113">
        <f t="shared" si="27"/>
        <v>15</v>
      </c>
      <c r="Z53" s="50">
        <f t="shared" si="28"/>
        <v>0</v>
      </c>
      <c r="AA53" s="50">
        <f t="shared" si="29"/>
        <v>15</v>
      </c>
      <c r="AB53" s="50">
        <f t="shared" si="30"/>
        <v>10</v>
      </c>
      <c r="AC53" s="50">
        <f t="shared" si="31"/>
        <v>0</v>
      </c>
      <c r="AD53" s="50">
        <f t="shared" si="32"/>
        <v>25</v>
      </c>
      <c r="AE53" s="50">
        <f t="shared" si="33"/>
        <v>1</v>
      </c>
    </row>
    <row r="54" spans="1:75" ht="30.75" customHeight="1">
      <c r="A54" s="169" t="s">
        <v>216</v>
      </c>
      <c r="B54" s="179" t="s">
        <v>159</v>
      </c>
      <c r="C54" s="47" t="str">
        <f t="shared" si="34"/>
        <v>0912-7LEK-F35-C</v>
      </c>
      <c r="D54" s="127"/>
      <c r="E54" s="129">
        <v>8</v>
      </c>
      <c r="F54" s="129"/>
      <c r="G54" s="160"/>
      <c r="H54" s="187"/>
      <c r="I54" s="160"/>
      <c r="J54" s="187"/>
      <c r="K54" s="160"/>
      <c r="L54" s="160"/>
      <c r="M54" s="160"/>
      <c r="N54" s="160"/>
      <c r="O54" s="160"/>
      <c r="P54" s="163">
        <v>15</v>
      </c>
      <c r="Q54" s="190">
        <v>10</v>
      </c>
      <c r="R54" s="163"/>
      <c r="S54" s="190"/>
      <c r="T54" s="163"/>
      <c r="U54" s="163"/>
      <c r="V54" s="163"/>
      <c r="W54" s="163"/>
      <c r="X54" s="163">
        <v>1</v>
      </c>
      <c r="Y54" s="113">
        <f t="shared" si="27"/>
        <v>15</v>
      </c>
      <c r="Z54" s="50">
        <f t="shared" si="28"/>
        <v>15</v>
      </c>
      <c r="AA54" s="50">
        <f t="shared" si="29"/>
        <v>0</v>
      </c>
      <c r="AB54" s="50">
        <f t="shared" si="30"/>
        <v>0</v>
      </c>
      <c r="AC54" s="50">
        <f t="shared" si="31"/>
        <v>0</v>
      </c>
      <c r="AD54" s="50">
        <f t="shared" si="32"/>
        <v>25</v>
      </c>
      <c r="AE54" s="50">
        <f t="shared" si="33"/>
        <v>1</v>
      </c>
    </row>
    <row r="55" spans="1:75" ht="30.75" customHeight="1">
      <c r="A55" s="169" t="s">
        <v>217</v>
      </c>
      <c r="B55" s="179" t="s">
        <v>342</v>
      </c>
      <c r="C55" s="47" t="str">
        <f t="shared" si="34"/>
        <v>0912-7LEK-F36-E</v>
      </c>
      <c r="D55" s="127"/>
      <c r="E55" s="129">
        <v>8</v>
      </c>
      <c r="F55" s="129"/>
      <c r="G55" s="160">
        <v>15</v>
      </c>
      <c r="H55" s="187">
        <v>10</v>
      </c>
      <c r="I55" s="160"/>
      <c r="J55" s="187"/>
      <c r="K55" s="160"/>
      <c r="L55" s="160"/>
      <c r="M55" s="160"/>
      <c r="N55" s="160"/>
      <c r="O55" s="160"/>
      <c r="P55" s="163"/>
      <c r="Q55" s="190"/>
      <c r="R55" s="163"/>
      <c r="S55" s="190"/>
      <c r="T55" s="163"/>
      <c r="U55" s="163"/>
      <c r="V55" s="163"/>
      <c r="W55" s="163"/>
      <c r="X55" s="163">
        <v>1</v>
      </c>
      <c r="Y55" s="113">
        <f t="shared" si="27"/>
        <v>15</v>
      </c>
      <c r="Z55" s="50">
        <f t="shared" si="28"/>
        <v>15</v>
      </c>
      <c r="AA55" s="50">
        <f t="shared" si="29"/>
        <v>0</v>
      </c>
      <c r="AB55" s="50">
        <f t="shared" si="30"/>
        <v>0</v>
      </c>
      <c r="AC55" s="50">
        <f t="shared" si="31"/>
        <v>0</v>
      </c>
      <c r="AD55" s="50">
        <f t="shared" si="32"/>
        <v>25</v>
      </c>
      <c r="AE55" s="50">
        <f t="shared" si="33"/>
        <v>1</v>
      </c>
    </row>
    <row r="56" spans="1:75" ht="30.75" customHeight="1">
      <c r="A56" s="10"/>
      <c r="B56" s="10"/>
      <c r="C56" s="16"/>
      <c r="D56" s="12"/>
      <c r="E56" s="12"/>
      <c r="F56" s="12"/>
      <c r="H56" s="13"/>
      <c r="I56" s="32"/>
      <c r="J56" s="33"/>
      <c r="K56" s="33"/>
      <c r="L56" s="33"/>
      <c r="M56" s="33"/>
      <c r="N56" s="33"/>
      <c r="O56" s="33"/>
      <c r="P56" s="13"/>
      <c r="Q56" s="13"/>
      <c r="R56" s="13"/>
      <c r="S56" s="13"/>
      <c r="T56" s="13"/>
      <c r="U56" s="13"/>
      <c r="V56" s="13"/>
      <c r="W56" s="13"/>
      <c r="X56" s="13"/>
    </row>
    <row r="57" spans="1:75" ht="21">
      <c r="A57" s="10"/>
      <c r="B57" s="10"/>
      <c r="C57" s="16"/>
      <c r="D57" s="12"/>
      <c r="E57" s="12"/>
      <c r="F57" s="12"/>
      <c r="H57" s="13"/>
      <c r="I57" s="32"/>
      <c r="J57" s="33"/>
      <c r="K57" s="33"/>
      <c r="L57" s="33"/>
      <c r="M57" s="33"/>
      <c r="N57" s="33"/>
      <c r="O57" s="33"/>
      <c r="P57" s="13"/>
      <c r="Q57" s="13"/>
      <c r="R57" s="13"/>
      <c r="S57" s="13"/>
      <c r="T57" s="13"/>
      <c r="U57" s="13"/>
      <c r="V57" s="13"/>
      <c r="W57" s="13"/>
      <c r="X57" s="13"/>
    </row>
    <row r="58" spans="1:75" ht="21">
      <c r="A58" s="10"/>
      <c r="B58" s="10"/>
      <c r="C58" s="16"/>
      <c r="D58" s="12"/>
      <c r="E58" s="12"/>
      <c r="F58" s="12"/>
      <c r="H58" s="13"/>
      <c r="I58" s="32"/>
      <c r="J58" s="33"/>
      <c r="K58" s="33"/>
      <c r="L58" s="20" t="s">
        <v>127</v>
      </c>
      <c r="M58" s="33"/>
      <c r="N58" s="33"/>
      <c r="O58" s="33"/>
      <c r="P58" s="13"/>
      <c r="Q58" s="13"/>
      <c r="R58" s="13"/>
      <c r="S58" s="13"/>
      <c r="T58" s="13"/>
      <c r="U58" s="13"/>
      <c r="V58" s="13"/>
      <c r="W58" s="13"/>
      <c r="X58" s="13"/>
    </row>
    <row r="59" spans="1:75" ht="21">
      <c r="A59" s="10"/>
      <c r="B59" s="10"/>
      <c r="C59" s="16"/>
      <c r="D59" s="12"/>
      <c r="E59" s="12"/>
      <c r="F59" s="12"/>
      <c r="H59" s="13"/>
      <c r="I59" s="32"/>
      <c r="J59" s="33"/>
      <c r="K59" s="33"/>
      <c r="L59" s="33"/>
      <c r="M59" s="33"/>
      <c r="N59" s="33"/>
      <c r="O59" s="33"/>
      <c r="P59" s="13"/>
      <c r="Q59" s="13"/>
      <c r="R59" s="13"/>
      <c r="S59" s="13"/>
      <c r="T59" s="13"/>
      <c r="U59" s="13"/>
      <c r="V59" s="13"/>
      <c r="W59" s="13"/>
      <c r="X59" s="13"/>
    </row>
    <row r="60" spans="1:75" ht="21">
      <c r="A60" s="7"/>
      <c r="B60" s="18"/>
      <c r="C60" s="11"/>
      <c r="D60" s="12"/>
      <c r="E60" s="12"/>
      <c r="F60" s="12"/>
      <c r="H60" s="13"/>
      <c r="I60" s="32"/>
      <c r="J60" s="33"/>
      <c r="K60" s="33"/>
      <c r="L60" s="33"/>
      <c r="M60" s="33"/>
      <c r="N60" s="33"/>
      <c r="O60" s="33"/>
      <c r="P60" s="13"/>
      <c r="Q60" s="13"/>
      <c r="R60" s="13"/>
      <c r="S60" s="13"/>
      <c r="T60" s="13"/>
      <c r="U60" s="13"/>
      <c r="V60" s="13"/>
      <c r="W60" s="13"/>
      <c r="X60" s="13"/>
    </row>
    <row r="61" spans="1:75" ht="21">
      <c r="A61" s="5"/>
      <c r="B61" s="23"/>
      <c r="C61" s="24"/>
      <c r="D61" s="25"/>
      <c r="E61" s="25"/>
      <c r="F61" s="25"/>
      <c r="H61" s="13"/>
      <c r="I61" s="32"/>
      <c r="J61" s="33"/>
      <c r="K61" s="33"/>
      <c r="L61" s="33"/>
      <c r="M61" s="33"/>
      <c r="N61" s="33"/>
      <c r="O61" s="33"/>
      <c r="P61" s="13"/>
      <c r="Q61" s="13"/>
      <c r="R61" s="13"/>
      <c r="S61" s="13"/>
      <c r="T61" s="13"/>
      <c r="U61" s="13"/>
      <c r="V61" s="13"/>
      <c r="W61" s="13"/>
      <c r="X61" s="13"/>
    </row>
    <row r="62" spans="1:75" ht="21">
      <c r="A62" s="4"/>
      <c r="B62" s="26"/>
      <c r="C62" s="27"/>
      <c r="D62" s="25"/>
      <c r="E62" s="25"/>
      <c r="F62" s="25"/>
      <c r="G62" s="38"/>
      <c r="H62" s="13"/>
      <c r="I62" s="32"/>
      <c r="J62" s="33"/>
      <c r="K62" s="33"/>
      <c r="L62" s="33"/>
      <c r="M62" s="33"/>
      <c r="N62" s="33"/>
      <c r="O62" s="33"/>
      <c r="P62" s="13"/>
      <c r="Q62" s="13"/>
      <c r="R62" s="13"/>
      <c r="S62" s="13"/>
      <c r="T62" s="13"/>
      <c r="U62" s="13"/>
      <c r="V62" s="13"/>
      <c r="W62" s="13"/>
      <c r="X62" s="13"/>
      <c r="Y62" s="1"/>
      <c r="Z62" s="1"/>
      <c r="AA62" s="1"/>
      <c r="AB62" s="1"/>
      <c r="AC62" s="1"/>
      <c r="AD62" s="1"/>
      <c r="AE62" s="1"/>
    </row>
    <row r="63" spans="1:75" ht="21">
      <c r="A63" s="2"/>
      <c r="B63" s="23"/>
      <c r="C63" s="24"/>
      <c r="D63" s="25"/>
      <c r="E63" s="25"/>
      <c r="F63" s="28"/>
      <c r="G63" s="38"/>
      <c r="H63" s="13"/>
      <c r="I63" s="32"/>
      <c r="J63" s="33"/>
      <c r="K63" s="33"/>
      <c r="L63" s="33"/>
      <c r="M63" s="33"/>
      <c r="N63" s="33"/>
      <c r="O63" s="33"/>
      <c r="P63" s="13"/>
      <c r="Q63" s="13"/>
      <c r="R63" s="13"/>
      <c r="S63" s="13"/>
      <c r="T63" s="13"/>
      <c r="U63" s="13"/>
      <c r="V63" s="13"/>
      <c r="W63" s="13"/>
      <c r="X63" s="13"/>
    </row>
    <row r="64" spans="1:75" ht="21">
      <c r="A64" s="3"/>
      <c r="B64" s="23"/>
      <c r="C64" s="24"/>
      <c r="D64" s="25"/>
      <c r="E64" s="25"/>
      <c r="F64" s="25"/>
      <c r="H64" s="13"/>
      <c r="I64" s="32"/>
      <c r="J64" s="33"/>
      <c r="K64" s="33"/>
      <c r="L64" s="33"/>
      <c r="M64" s="33"/>
      <c r="N64" s="33"/>
      <c r="O64" s="33"/>
      <c r="P64" s="13"/>
      <c r="Q64" s="13"/>
      <c r="R64" s="13"/>
      <c r="S64" s="13"/>
      <c r="T64" s="13"/>
      <c r="U64" s="13"/>
      <c r="V64" s="13"/>
      <c r="W64" s="13"/>
      <c r="X64" s="13"/>
    </row>
    <row r="65" spans="1:24" ht="21">
      <c r="A65" s="3"/>
      <c r="B65" s="23"/>
      <c r="C65" s="24"/>
      <c r="D65" s="25"/>
      <c r="E65" s="25"/>
      <c r="F65" s="25"/>
      <c r="G65" s="14"/>
      <c r="H65" s="13"/>
      <c r="I65" s="32"/>
      <c r="J65" s="33"/>
      <c r="K65" s="33"/>
      <c r="L65" s="33"/>
      <c r="M65" s="33"/>
      <c r="N65" s="33"/>
      <c r="O65" s="33"/>
      <c r="P65" s="13"/>
      <c r="Q65" s="13"/>
      <c r="R65" s="13"/>
      <c r="S65" s="13"/>
      <c r="T65" s="13"/>
      <c r="U65" s="13"/>
      <c r="V65" s="13"/>
      <c r="W65" s="13"/>
      <c r="X65" s="13"/>
    </row>
    <row r="66" spans="1:24" ht="21">
      <c r="A66" s="3"/>
      <c r="B66" s="23"/>
      <c r="C66" s="24"/>
      <c r="D66" s="28"/>
      <c r="E66" s="28"/>
      <c r="F66" s="25"/>
      <c r="G66" s="13"/>
      <c r="H66" s="13"/>
      <c r="I66" s="32"/>
      <c r="J66" s="33"/>
      <c r="K66" s="33"/>
      <c r="L66" s="33"/>
      <c r="M66" s="33"/>
      <c r="N66" s="33"/>
      <c r="O66" s="33"/>
      <c r="P66" s="13"/>
      <c r="Q66" s="13"/>
      <c r="R66" s="13"/>
      <c r="S66" s="13"/>
      <c r="T66" s="13"/>
      <c r="U66" s="13"/>
      <c r="V66" s="13"/>
      <c r="W66" s="13"/>
      <c r="X66" s="13"/>
    </row>
    <row r="67" spans="1:24" ht="21">
      <c r="A67" s="3"/>
      <c r="B67" s="23"/>
      <c r="C67" s="24"/>
      <c r="D67" s="25"/>
      <c r="E67" s="25"/>
      <c r="F67" s="25"/>
      <c r="G67" s="13"/>
      <c r="H67" s="13"/>
      <c r="I67" s="32"/>
      <c r="J67" s="33"/>
      <c r="K67" s="33"/>
      <c r="L67" s="33"/>
      <c r="M67" s="33"/>
      <c r="N67" s="33"/>
      <c r="O67" s="33"/>
      <c r="P67" s="13"/>
      <c r="Q67" s="13"/>
      <c r="R67" s="13"/>
      <c r="S67" s="13"/>
      <c r="T67" s="13"/>
      <c r="U67" s="13"/>
      <c r="V67" s="13"/>
      <c r="W67" s="13"/>
      <c r="X67" s="13"/>
    </row>
    <row r="68" spans="1:24" ht="21">
      <c r="A68" s="7"/>
      <c r="B68" s="20"/>
      <c r="C68" s="21"/>
      <c r="D68" s="22"/>
      <c r="E68" s="22"/>
      <c r="F68" s="22"/>
      <c r="G68" s="13"/>
      <c r="H68" s="13"/>
      <c r="I68" s="32"/>
      <c r="J68" s="33"/>
      <c r="K68" s="33"/>
      <c r="L68" s="33"/>
      <c r="M68" s="33"/>
      <c r="N68" s="33"/>
      <c r="O68" s="33"/>
      <c r="P68" s="13"/>
      <c r="Q68" s="13"/>
      <c r="R68" s="13"/>
      <c r="S68" s="13"/>
      <c r="T68" s="13"/>
      <c r="U68" s="13"/>
      <c r="V68" s="13"/>
      <c r="W68" s="13"/>
      <c r="X68" s="13"/>
    </row>
    <row r="69" spans="1:24" ht="21">
      <c r="A69" s="8"/>
      <c r="B69" s="18"/>
      <c r="C69" s="11"/>
      <c r="D69" s="13"/>
      <c r="E69" s="13"/>
      <c r="F69" s="13"/>
      <c r="G69" s="13"/>
      <c r="H69" s="13"/>
      <c r="I69" s="32"/>
      <c r="J69" s="33"/>
      <c r="K69" s="33"/>
      <c r="L69" s="33"/>
      <c r="M69" s="33"/>
      <c r="N69" s="33"/>
      <c r="O69" s="33"/>
      <c r="P69" s="13"/>
      <c r="Q69" s="13"/>
      <c r="R69" s="13"/>
      <c r="S69" s="13"/>
      <c r="T69" s="13"/>
      <c r="U69" s="13"/>
      <c r="V69" s="13"/>
      <c r="W69" s="13"/>
      <c r="X69" s="13"/>
    </row>
  </sheetData>
  <mergeCells count="46">
    <mergeCell ref="A45:AE45"/>
    <mergeCell ref="A40:C40"/>
    <mergeCell ref="A39:C39"/>
    <mergeCell ref="A5:F5"/>
    <mergeCell ref="G5:AE5"/>
    <mergeCell ref="A6:A9"/>
    <mergeCell ref="B6:B9"/>
    <mergeCell ref="C6:C9"/>
    <mergeCell ref="D6:F7"/>
    <mergeCell ref="Y6:Y9"/>
    <mergeCell ref="AD6:AD9"/>
    <mergeCell ref="AE6:AE9"/>
    <mergeCell ref="G6:X6"/>
    <mergeCell ref="G7:O7"/>
    <mergeCell ref="P7:X7"/>
    <mergeCell ref="O8:O9"/>
    <mergeCell ref="A1:AE1"/>
    <mergeCell ref="D8:D9"/>
    <mergeCell ref="E8:E9"/>
    <mergeCell ref="F8:F9"/>
    <mergeCell ref="Z6:Z9"/>
    <mergeCell ref="AA6:AA9"/>
    <mergeCell ref="AB6:AB9"/>
    <mergeCell ref="AC6:AC9"/>
    <mergeCell ref="X8:X9"/>
    <mergeCell ref="R8:S8"/>
    <mergeCell ref="G8:H8"/>
    <mergeCell ref="V8:W8"/>
    <mergeCell ref="I8:J8"/>
    <mergeCell ref="K8:L8"/>
    <mergeCell ref="M8:N8"/>
    <mergeCell ref="T8:U8"/>
    <mergeCell ref="A2:B2"/>
    <mergeCell ref="H2:P2"/>
    <mergeCell ref="A3:B3"/>
    <mergeCell ref="B38:C38"/>
    <mergeCell ref="B37:C37"/>
    <mergeCell ref="B36:C36"/>
    <mergeCell ref="B35:C35"/>
    <mergeCell ref="B34:C34"/>
    <mergeCell ref="B33:C33"/>
    <mergeCell ref="A19:C19"/>
    <mergeCell ref="A24:C24"/>
    <mergeCell ref="A28:C28"/>
    <mergeCell ref="A31:C31"/>
    <mergeCell ref="P8:Q8"/>
  </mergeCells>
  <pageMargins left="0.23622047244094491" right="0.23622047244094491" top="0" bottom="0.74803149606299213" header="0.31496062992125984" footer="0.31496062992125984"/>
  <pageSetup paperSize="9" scale="50" fitToHeight="0" orientation="landscape" r:id="rId1"/>
  <rowBreaks count="1" manualBreakCount="1">
    <brk id="28" max="30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87"/>
  <sheetViews>
    <sheetView tabSelected="1" view="pageBreakPreview" topLeftCell="A10" zoomScale="80" zoomScaleNormal="80" zoomScaleSheetLayoutView="80" workbookViewId="0">
      <selection activeCell="B26" sqref="B26"/>
    </sheetView>
  </sheetViews>
  <sheetFormatPr defaultRowHeight="15"/>
  <cols>
    <col min="1" max="1" width="5.5703125" customWidth="1"/>
    <col min="2" max="2" width="47.42578125" customWidth="1"/>
    <col min="3" max="3" width="25.140625" customWidth="1"/>
    <col min="4" max="4" width="8.7109375" customWidth="1"/>
    <col min="5" max="5" width="11.5703125" customWidth="1"/>
    <col min="6" max="6" width="8.140625" customWidth="1"/>
    <col min="7" max="24" width="7.85546875" customWidth="1"/>
    <col min="25" max="25" width="10.85546875" customWidth="1"/>
    <col min="26" max="29" width="7" customWidth="1"/>
    <col min="30" max="30" width="11.42578125" customWidth="1"/>
    <col min="31" max="31" width="10" customWidth="1"/>
  </cols>
  <sheetData>
    <row r="1" spans="1:32" s="41" customFormat="1" ht="37.5" customHeight="1">
      <c r="A1" s="498" t="s">
        <v>265</v>
      </c>
      <c r="B1" s="498"/>
      <c r="C1" s="498"/>
      <c r="D1" s="498"/>
      <c r="E1" s="498"/>
      <c r="F1" s="498"/>
      <c r="G1" s="498"/>
      <c r="H1" s="498"/>
      <c r="I1" s="498"/>
      <c r="J1" s="498"/>
      <c r="K1" s="498"/>
      <c r="L1" s="498"/>
      <c r="M1" s="498"/>
      <c r="N1" s="498"/>
      <c r="O1" s="498"/>
      <c r="P1" s="498"/>
      <c r="Q1" s="498"/>
      <c r="R1" s="498"/>
      <c r="S1" s="498"/>
      <c r="T1" s="498"/>
      <c r="U1" s="498"/>
      <c r="V1" s="498"/>
      <c r="W1" s="498"/>
      <c r="X1" s="498"/>
      <c r="Y1" s="498"/>
      <c r="Z1" s="498"/>
      <c r="AA1" s="498"/>
      <c r="AB1" s="498"/>
      <c r="AC1" s="498"/>
      <c r="AD1" s="498"/>
      <c r="AE1" s="498"/>
      <c r="AF1" s="107"/>
    </row>
    <row r="2" spans="1:32" s="41" customFormat="1" ht="30" customHeight="1">
      <c r="A2" s="509" t="s">
        <v>112</v>
      </c>
      <c r="B2" s="509"/>
      <c r="C2" s="144" t="s">
        <v>113</v>
      </c>
      <c r="E2" s="132"/>
      <c r="F2" s="132"/>
      <c r="G2" s="132"/>
      <c r="H2" s="511" t="s">
        <v>163</v>
      </c>
      <c r="I2" s="511"/>
      <c r="J2" s="511"/>
      <c r="K2" s="511"/>
      <c r="L2" s="511"/>
      <c r="M2" s="511"/>
      <c r="N2" s="511"/>
      <c r="O2" s="511"/>
      <c r="P2" s="511"/>
      <c r="Q2" s="131"/>
      <c r="R2" s="131"/>
      <c r="S2" s="131"/>
      <c r="T2" s="131"/>
      <c r="U2" s="131"/>
      <c r="V2" s="131"/>
      <c r="W2" s="131"/>
      <c r="X2" s="131"/>
      <c r="Y2" s="131"/>
      <c r="Z2" s="131"/>
      <c r="AA2" s="131"/>
      <c r="AB2" s="131"/>
      <c r="AC2" s="131"/>
      <c r="AD2" s="131"/>
      <c r="AE2" s="130"/>
      <c r="AF2" s="107"/>
    </row>
    <row r="3" spans="1:32" s="41" customFormat="1" ht="40.5" customHeight="1">
      <c r="A3" s="510" t="s">
        <v>111</v>
      </c>
      <c r="B3" s="510"/>
      <c r="C3" s="145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  <c r="Q3" s="131"/>
      <c r="R3" s="131"/>
      <c r="S3" s="131"/>
      <c r="T3" s="131"/>
      <c r="U3" s="131"/>
      <c r="V3" s="131"/>
      <c r="W3" s="131"/>
      <c r="X3" s="131"/>
      <c r="Y3" s="131"/>
      <c r="Z3" s="131"/>
      <c r="AA3" s="131"/>
      <c r="AB3" s="131"/>
      <c r="AC3" s="131"/>
      <c r="AD3" s="131"/>
      <c r="AE3" s="130"/>
      <c r="AF3" s="107"/>
    </row>
    <row r="4" spans="1:32" s="41" customFormat="1" ht="24.75" customHeight="1">
      <c r="A4" s="106"/>
      <c r="B4" s="106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  <c r="V4" s="106"/>
      <c r="W4" s="106"/>
      <c r="X4" s="106"/>
      <c r="Y4" s="106"/>
      <c r="Z4" s="106"/>
      <c r="AA4" s="106"/>
      <c r="AB4" s="106"/>
      <c r="AC4" s="106"/>
      <c r="AD4" s="106"/>
      <c r="AE4" s="106"/>
      <c r="AF4" s="106"/>
    </row>
    <row r="5" spans="1:32" ht="15" customHeight="1">
      <c r="A5" s="500"/>
      <c r="B5" s="501"/>
      <c r="C5" s="501"/>
      <c r="D5" s="501"/>
      <c r="E5" s="501"/>
      <c r="F5" s="502"/>
      <c r="G5" s="503" t="s">
        <v>103</v>
      </c>
      <c r="H5" s="504"/>
      <c r="I5" s="504"/>
      <c r="J5" s="504"/>
      <c r="K5" s="504"/>
      <c r="L5" s="504"/>
      <c r="M5" s="504"/>
      <c r="N5" s="504"/>
      <c r="O5" s="504"/>
      <c r="P5" s="504"/>
      <c r="Q5" s="504"/>
      <c r="R5" s="504"/>
      <c r="S5" s="504"/>
      <c r="T5" s="504"/>
      <c r="U5" s="504"/>
      <c r="V5" s="504"/>
      <c r="W5" s="504"/>
      <c r="X5" s="504"/>
      <c r="Y5" s="504"/>
      <c r="Z5" s="504"/>
      <c r="AA5" s="504"/>
      <c r="AB5" s="504"/>
      <c r="AC5" s="504"/>
      <c r="AD5" s="504"/>
      <c r="AE5" s="504"/>
      <c r="AF5" s="100"/>
    </row>
    <row r="6" spans="1:32" ht="15" customHeight="1">
      <c r="A6" s="483" t="s">
        <v>0</v>
      </c>
      <c r="B6" s="481" t="s">
        <v>4</v>
      </c>
      <c r="C6" s="481" t="s">
        <v>1</v>
      </c>
      <c r="D6" s="538" t="s">
        <v>8</v>
      </c>
      <c r="E6" s="538"/>
      <c r="F6" s="538"/>
      <c r="G6" s="494" t="s">
        <v>108</v>
      </c>
      <c r="H6" s="494"/>
      <c r="I6" s="494"/>
      <c r="J6" s="494"/>
      <c r="K6" s="494"/>
      <c r="L6" s="494"/>
      <c r="M6" s="494"/>
      <c r="N6" s="494"/>
      <c r="O6" s="494"/>
      <c r="P6" s="494"/>
      <c r="Q6" s="494"/>
      <c r="R6" s="494"/>
      <c r="S6" s="494"/>
      <c r="T6" s="494"/>
      <c r="U6" s="494"/>
      <c r="V6" s="494"/>
      <c r="W6" s="494"/>
      <c r="X6" s="494"/>
      <c r="Y6" s="487" t="s">
        <v>5</v>
      </c>
      <c r="Z6" s="487" t="s">
        <v>89</v>
      </c>
      <c r="AA6" s="487" t="s">
        <v>88</v>
      </c>
      <c r="AB6" s="487" t="s">
        <v>94</v>
      </c>
      <c r="AC6" s="487" t="s">
        <v>90</v>
      </c>
      <c r="AD6" s="487" t="s">
        <v>14</v>
      </c>
      <c r="AE6" s="487" t="s">
        <v>6</v>
      </c>
    </row>
    <row r="7" spans="1:32" ht="15" customHeight="1">
      <c r="A7" s="483"/>
      <c r="B7" s="481"/>
      <c r="C7" s="481"/>
      <c r="D7" s="538"/>
      <c r="E7" s="538"/>
      <c r="F7" s="538"/>
      <c r="G7" s="495" t="s">
        <v>101</v>
      </c>
      <c r="H7" s="496"/>
      <c r="I7" s="496"/>
      <c r="J7" s="496"/>
      <c r="K7" s="496"/>
      <c r="L7" s="496"/>
      <c r="M7" s="496"/>
      <c r="N7" s="496"/>
      <c r="O7" s="497"/>
      <c r="P7" s="490" t="s">
        <v>102</v>
      </c>
      <c r="Q7" s="506"/>
      <c r="R7" s="506"/>
      <c r="S7" s="506"/>
      <c r="T7" s="506"/>
      <c r="U7" s="506"/>
      <c r="V7" s="506"/>
      <c r="W7" s="506"/>
      <c r="X7" s="491"/>
      <c r="Y7" s="488"/>
      <c r="Z7" s="488"/>
      <c r="AA7" s="488"/>
      <c r="AB7" s="488"/>
      <c r="AC7" s="488"/>
      <c r="AD7" s="488"/>
      <c r="AE7" s="488"/>
    </row>
    <row r="8" spans="1:32" ht="15" customHeight="1">
      <c r="A8" s="484"/>
      <c r="B8" s="479"/>
      <c r="C8" s="479"/>
      <c r="D8" s="479" t="s">
        <v>2</v>
      </c>
      <c r="E8" s="479" t="s">
        <v>13</v>
      </c>
      <c r="F8" s="479" t="s">
        <v>12</v>
      </c>
      <c r="G8" s="495" t="s">
        <v>89</v>
      </c>
      <c r="H8" s="497"/>
      <c r="I8" s="495" t="s">
        <v>88</v>
      </c>
      <c r="J8" s="497"/>
      <c r="K8" s="495" t="s">
        <v>94</v>
      </c>
      <c r="L8" s="497"/>
      <c r="M8" s="495" t="s">
        <v>90</v>
      </c>
      <c r="N8" s="497"/>
      <c r="O8" s="572" t="s">
        <v>7</v>
      </c>
      <c r="P8" s="490" t="s">
        <v>89</v>
      </c>
      <c r="Q8" s="491"/>
      <c r="R8" s="490" t="s">
        <v>88</v>
      </c>
      <c r="S8" s="491"/>
      <c r="T8" s="490" t="s">
        <v>94</v>
      </c>
      <c r="U8" s="491"/>
      <c r="V8" s="490" t="s">
        <v>90</v>
      </c>
      <c r="W8" s="491"/>
      <c r="X8" s="492" t="s">
        <v>7</v>
      </c>
      <c r="Y8" s="488"/>
      <c r="Z8" s="488"/>
      <c r="AA8" s="488"/>
      <c r="AB8" s="488"/>
      <c r="AC8" s="488"/>
      <c r="AD8" s="488"/>
      <c r="AE8" s="488"/>
    </row>
    <row r="9" spans="1:32" ht="48" customHeight="1">
      <c r="A9" s="484"/>
      <c r="B9" s="479"/>
      <c r="C9" s="479"/>
      <c r="D9" s="561"/>
      <c r="E9" s="561"/>
      <c r="F9" s="561"/>
      <c r="G9" s="176" t="s">
        <v>15</v>
      </c>
      <c r="H9" s="176" t="s">
        <v>16</v>
      </c>
      <c r="I9" s="176" t="s">
        <v>15</v>
      </c>
      <c r="J9" s="176" t="s">
        <v>16</v>
      </c>
      <c r="K9" s="176" t="s">
        <v>15</v>
      </c>
      <c r="L9" s="176" t="s">
        <v>16</v>
      </c>
      <c r="M9" s="176" t="s">
        <v>15</v>
      </c>
      <c r="N9" s="176" t="s">
        <v>16</v>
      </c>
      <c r="O9" s="573"/>
      <c r="P9" s="178" t="s">
        <v>15</v>
      </c>
      <c r="Q9" s="178" t="s">
        <v>16</v>
      </c>
      <c r="R9" s="178" t="s">
        <v>15</v>
      </c>
      <c r="S9" s="178" t="s">
        <v>16</v>
      </c>
      <c r="T9" s="178" t="s">
        <v>15</v>
      </c>
      <c r="U9" s="178" t="s">
        <v>16</v>
      </c>
      <c r="V9" s="178" t="s">
        <v>15</v>
      </c>
      <c r="W9" s="178" t="s">
        <v>16</v>
      </c>
      <c r="X9" s="562"/>
      <c r="Y9" s="488"/>
      <c r="Z9" s="488"/>
      <c r="AA9" s="488"/>
      <c r="AB9" s="488"/>
      <c r="AC9" s="488"/>
      <c r="AD9" s="488"/>
      <c r="AE9" s="488"/>
    </row>
    <row r="10" spans="1:32" ht="15.75">
      <c r="A10" s="358" t="s">
        <v>314</v>
      </c>
      <c r="B10" s="359"/>
      <c r="C10" s="360"/>
      <c r="D10" s="359"/>
      <c r="E10" s="359"/>
      <c r="F10" s="359"/>
      <c r="G10" s="361"/>
      <c r="H10" s="361"/>
      <c r="I10" s="361"/>
      <c r="J10" s="361"/>
      <c r="K10" s="361"/>
      <c r="L10" s="361"/>
      <c r="M10" s="361"/>
      <c r="N10" s="361"/>
      <c r="O10" s="361"/>
      <c r="P10" s="361"/>
      <c r="Q10" s="361"/>
      <c r="R10" s="361"/>
      <c r="S10" s="361"/>
      <c r="T10" s="361"/>
      <c r="U10" s="361"/>
      <c r="V10" s="361"/>
      <c r="W10" s="361"/>
      <c r="X10" s="361"/>
      <c r="Y10" s="361"/>
      <c r="Z10" s="361"/>
      <c r="AA10" s="361"/>
      <c r="AB10" s="361"/>
      <c r="AC10" s="361"/>
      <c r="AD10" s="361"/>
      <c r="AE10" s="362"/>
    </row>
    <row r="11" spans="1:32" s="373" customFormat="1" ht="31.5">
      <c r="A11" s="405">
        <v>2.1</v>
      </c>
      <c r="B11" s="405" t="s">
        <v>315</v>
      </c>
      <c r="C11" s="433" t="s">
        <v>337</v>
      </c>
      <c r="D11" s="372"/>
      <c r="E11" s="414">
        <v>9</v>
      </c>
      <c r="F11" s="372"/>
      <c r="G11" s="425">
        <v>5</v>
      </c>
      <c r="H11" s="426">
        <v>5</v>
      </c>
      <c r="I11" s="425">
        <v>10</v>
      </c>
      <c r="J11" s="426">
        <v>5</v>
      </c>
      <c r="K11" s="385"/>
      <c r="L11" s="385"/>
      <c r="M11" s="385"/>
      <c r="N11" s="385"/>
      <c r="O11" s="425">
        <v>1</v>
      </c>
      <c r="P11" s="386"/>
      <c r="Q11" s="386"/>
      <c r="R11" s="386"/>
      <c r="S11" s="386"/>
      <c r="T11" s="386"/>
      <c r="U11" s="386"/>
      <c r="V11" s="386"/>
      <c r="W11" s="386"/>
      <c r="X11" s="386"/>
      <c r="Y11" s="408">
        <f>SUM(Z11:AC11)</f>
        <v>15</v>
      </c>
      <c r="Z11" s="408">
        <f>G11+P11</f>
        <v>5</v>
      </c>
      <c r="AA11" s="408">
        <f>I11+R11</f>
        <v>10</v>
      </c>
      <c r="AB11" s="408">
        <f>SUM(K11+T11)</f>
        <v>0</v>
      </c>
      <c r="AC11" s="408">
        <f>SUM(M11+V11)</f>
        <v>0</v>
      </c>
      <c r="AD11" s="408">
        <f>SUM(G11:N11,P11:W11)</f>
        <v>25</v>
      </c>
      <c r="AE11" s="408">
        <f>SUM(O11,X11)</f>
        <v>1</v>
      </c>
    </row>
    <row r="12" spans="1:32" s="363" customFormat="1" ht="15.75" customHeight="1">
      <c r="A12" s="569" t="s">
        <v>9</v>
      </c>
      <c r="B12" s="570"/>
      <c r="C12" s="570"/>
      <c r="D12" s="570"/>
      <c r="E12" s="570"/>
      <c r="F12" s="571"/>
      <c r="G12" s="430">
        <f t="shared" ref="G12:X12" si="0">SUM(G11)</f>
        <v>5</v>
      </c>
      <c r="H12" s="428">
        <f t="shared" si="0"/>
        <v>5</v>
      </c>
      <c r="I12" s="430">
        <f t="shared" si="0"/>
        <v>10</v>
      </c>
      <c r="J12" s="428">
        <f t="shared" si="0"/>
        <v>5</v>
      </c>
      <c r="K12" s="430">
        <f t="shared" si="0"/>
        <v>0</v>
      </c>
      <c r="L12" s="430">
        <f t="shared" si="0"/>
        <v>0</v>
      </c>
      <c r="M12" s="430">
        <f t="shared" si="0"/>
        <v>0</v>
      </c>
      <c r="N12" s="430">
        <f t="shared" si="0"/>
        <v>0</v>
      </c>
      <c r="O12" s="430">
        <f t="shared" si="0"/>
        <v>1</v>
      </c>
      <c r="P12" s="430">
        <f t="shared" si="0"/>
        <v>0</v>
      </c>
      <c r="Q12" s="430">
        <f t="shared" si="0"/>
        <v>0</v>
      </c>
      <c r="R12" s="430">
        <f t="shared" si="0"/>
        <v>0</v>
      </c>
      <c r="S12" s="430">
        <f t="shared" si="0"/>
        <v>0</v>
      </c>
      <c r="T12" s="430">
        <f t="shared" si="0"/>
        <v>0</v>
      </c>
      <c r="U12" s="430">
        <f t="shared" si="0"/>
        <v>0</v>
      </c>
      <c r="V12" s="430">
        <f t="shared" si="0"/>
        <v>0</v>
      </c>
      <c r="W12" s="430">
        <f t="shared" si="0"/>
        <v>0</v>
      </c>
      <c r="X12" s="430">
        <f t="shared" si="0"/>
        <v>0</v>
      </c>
      <c r="Y12" s="430">
        <f t="shared" ref="Y12:AE12" si="1">SUM(Y11)</f>
        <v>15</v>
      </c>
      <c r="Z12" s="430">
        <f t="shared" si="1"/>
        <v>5</v>
      </c>
      <c r="AA12" s="430">
        <f t="shared" si="1"/>
        <v>10</v>
      </c>
      <c r="AB12" s="430">
        <f t="shared" si="1"/>
        <v>0</v>
      </c>
      <c r="AC12" s="430">
        <f t="shared" si="1"/>
        <v>0</v>
      </c>
      <c r="AD12" s="430">
        <f t="shared" si="1"/>
        <v>25</v>
      </c>
      <c r="AE12" s="430">
        <f t="shared" si="1"/>
        <v>1</v>
      </c>
    </row>
    <row r="13" spans="1:32" ht="15.75">
      <c r="A13" s="108" t="s">
        <v>25</v>
      </c>
      <c r="B13" s="109"/>
      <c r="C13" s="110"/>
      <c r="D13" s="109"/>
      <c r="E13" s="109"/>
      <c r="F13" s="109"/>
      <c r="G13" s="431"/>
      <c r="H13" s="429"/>
      <c r="I13" s="431"/>
      <c r="J13" s="429"/>
      <c r="K13" s="111"/>
      <c r="L13" s="111"/>
      <c r="M13" s="111"/>
      <c r="N13" s="111"/>
      <c r="O13" s="111"/>
      <c r="P13" s="111"/>
      <c r="Q13" s="111"/>
      <c r="R13" s="111"/>
      <c r="S13" s="111"/>
      <c r="T13" s="111"/>
      <c r="U13" s="111"/>
      <c r="V13" s="111"/>
      <c r="W13" s="111"/>
      <c r="X13" s="111"/>
      <c r="Y13" s="111"/>
      <c r="Z13" s="111"/>
      <c r="AA13" s="111"/>
      <c r="AB13" s="111"/>
      <c r="AC13" s="111"/>
      <c r="AD13" s="111"/>
      <c r="AE13" s="112"/>
    </row>
    <row r="14" spans="1:32" s="35" customFormat="1" ht="33.75" customHeight="1">
      <c r="A14" s="432">
        <v>5.0999999999999996</v>
      </c>
      <c r="B14" s="405" t="s">
        <v>51</v>
      </c>
      <c r="C14" s="393" t="s">
        <v>313</v>
      </c>
      <c r="D14" s="401">
        <v>11</v>
      </c>
      <c r="E14" s="406" t="s">
        <v>339</v>
      </c>
      <c r="F14" s="399"/>
      <c r="G14" s="395">
        <v>15</v>
      </c>
      <c r="H14" s="413">
        <v>5</v>
      </c>
      <c r="I14" s="395">
        <v>10</v>
      </c>
      <c r="J14" s="413">
        <v>5</v>
      </c>
      <c r="K14" s="395">
        <v>15</v>
      </c>
      <c r="L14" s="177"/>
      <c r="M14" s="177"/>
      <c r="N14" s="177"/>
      <c r="O14" s="395">
        <v>2</v>
      </c>
      <c r="P14" s="394">
        <v>15</v>
      </c>
      <c r="Q14" s="424">
        <v>5</v>
      </c>
      <c r="R14" s="394">
        <v>10</v>
      </c>
      <c r="S14" s="424">
        <v>5</v>
      </c>
      <c r="T14" s="394">
        <v>15</v>
      </c>
      <c r="U14" s="348"/>
      <c r="V14" s="348"/>
      <c r="W14" s="348"/>
      <c r="X14" s="394">
        <v>2</v>
      </c>
      <c r="Y14" s="402">
        <f>SUM(Z14:AC14)</f>
        <v>80</v>
      </c>
      <c r="Z14" s="402">
        <f>SUM(G14,P14)</f>
        <v>30</v>
      </c>
      <c r="AA14" s="402">
        <f>SUM(I14,R14)</f>
        <v>20</v>
      </c>
      <c r="AB14" s="402">
        <f>SUM(K14,T14)</f>
        <v>30</v>
      </c>
      <c r="AC14" s="402">
        <f>SUM(M14,V14)</f>
        <v>0</v>
      </c>
      <c r="AD14" s="402">
        <f>SUM(G14:N14,P14:W14)</f>
        <v>100</v>
      </c>
      <c r="AE14" s="402">
        <f>SUM(O14,X14)</f>
        <v>4</v>
      </c>
    </row>
    <row r="15" spans="1:32" s="35" customFormat="1" ht="33.75" customHeight="1">
      <c r="A15" s="432">
        <v>5.2</v>
      </c>
      <c r="B15" s="405" t="s">
        <v>80</v>
      </c>
      <c r="C15" s="393" t="s">
        <v>312</v>
      </c>
      <c r="D15" s="401">
        <v>11</v>
      </c>
      <c r="E15" s="406" t="s">
        <v>246</v>
      </c>
      <c r="F15" s="399"/>
      <c r="G15" s="177"/>
      <c r="H15" s="413"/>
      <c r="I15" s="177"/>
      <c r="J15" s="413"/>
      <c r="K15" s="177"/>
      <c r="L15" s="177"/>
      <c r="M15" s="177"/>
      <c r="N15" s="177"/>
      <c r="O15" s="177"/>
      <c r="P15" s="394">
        <v>15</v>
      </c>
      <c r="Q15" s="424">
        <v>5</v>
      </c>
      <c r="R15" s="394">
        <v>10</v>
      </c>
      <c r="S15" s="424">
        <v>5</v>
      </c>
      <c r="T15" s="394">
        <v>15</v>
      </c>
      <c r="U15" s="348"/>
      <c r="V15" s="348"/>
      <c r="W15" s="348"/>
      <c r="X15" s="394">
        <v>2</v>
      </c>
      <c r="Y15" s="402">
        <f t="shared" ref="Y15:Y17" si="2">SUM(Z15:AC15)</f>
        <v>40</v>
      </c>
      <c r="Z15" s="402">
        <f>SUM(G15,P15)</f>
        <v>15</v>
      </c>
      <c r="AA15" s="402">
        <f>SUM(I15,R15)</f>
        <v>10</v>
      </c>
      <c r="AB15" s="402">
        <f>SUM(K15,T15)</f>
        <v>15</v>
      </c>
      <c r="AC15" s="402">
        <f>SUM(M15,V15)</f>
        <v>0</v>
      </c>
      <c r="AD15" s="402">
        <f>SUM(G15:N15,P15:W15)</f>
        <v>50</v>
      </c>
      <c r="AE15" s="402">
        <f>SUM(O15,X15)</f>
        <v>2</v>
      </c>
    </row>
    <row r="16" spans="1:32" ht="27.75" customHeight="1">
      <c r="A16" s="59">
        <v>5.3</v>
      </c>
      <c r="B16" s="103" t="s">
        <v>52</v>
      </c>
      <c r="C16" s="47" t="str">
        <f>RAZEM!C41</f>
        <v>0912-7LEK-C5.3-G</v>
      </c>
      <c r="D16" s="48">
        <v>10</v>
      </c>
      <c r="E16" s="49">
        <v>10</v>
      </c>
      <c r="F16" s="49"/>
      <c r="G16" s="140"/>
      <c r="H16" s="413"/>
      <c r="I16" s="140"/>
      <c r="J16" s="413"/>
      <c r="K16" s="140"/>
      <c r="L16" s="187"/>
      <c r="M16" s="140"/>
      <c r="N16" s="187"/>
      <c r="O16" s="140"/>
      <c r="P16" s="394">
        <v>15</v>
      </c>
      <c r="Q16" s="424">
        <v>10</v>
      </c>
      <c r="R16" s="394">
        <v>20</v>
      </c>
      <c r="S16" s="424">
        <v>15</v>
      </c>
      <c r="T16" s="394">
        <v>15</v>
      </c>
      <c r="U16" s="190"/>
      <c r="V16" s="394"/>
      <c r="W16" s="190"/>
      <c r="X16" s="394">
        <v>3</v>
      </c>
      <c r="Y16" s="402">
        <f t="shared" si="2"/>
        <v>50</v>
      </c>
      <c r="Z16" s="402">
        <f>SUM(G16,P16)</f>
        <v>15</v>
      </c>
      <c r="AA16" s="402">
        <f>SUM(I16,R16)</f>
        <v>20</v>
      </c>
      <c r="AB16" s="402">
        <f>SUM(K16,T16)</f>
        <v>15</v>
      </c>
      <c r="AC16" s="402">
        <f>SUM(M16,V16)</f>
        <v>0</v>
      </c>
      <c r="AD16" s="402">
        <f>SUM(G16:N16,P16:W16)</f>
        <v>75</v>
      </c>
      <c r="AE16" s="402">
        <f>SUM(O16,X16)</f>
        <v>3</v>
      </c>
    </row>
    <row r="17" spans="1:31" ht="27.75" customHeight="1">
      <c r="A17" s="59">
        <v>5.7</v>
      </c>
      <c r="B17" s="103" t="s">
        <v>56</v>
      </c>
      <c r="C17" s="47" t="str">
        <f>RAZEM!C45</f>
        <v>0912-7LEK-C5.7-MR</v>
      </c>
      <c r="D17" s="48">
        <v>12</v>
      </c>
      <c r="E17" s="49">
        <v>9</v>
      </c>
      <c r="F17" s="49"/>
      <c r="G17" s="395">
        <v>15</v>
      </c>
      <c r="H17" s="413">
        <v>15</v>
      </c>
      <c r="I17" s="395">
        <v>25</v>
      </c>
      <c r="J17" s="413">
        <v>30</v>
      </c>
      <c r="K17" s="395">
        <v>15</v>
      </c>
      <c r="L17" s="187"/>
      <c r="M17" s="140"/>
      <c r="N17" s="187"/>
      <c r="O17" s="140">
        <v>4</v>
      </c>
      <c r="P17" s="138"/>
      <c r="Q17" s="190"/>
      <c r="R17" s="138"/>
      <c r="S17" s="424"/>
      <c r="T17" s="138"/>
      <c r="U17" s="190"/>
      <c r="V17" s="138"/>
      <c r="W17" s="190"/>
      <c r="X17" s="138"/>
      <c r="Y17" s="402">
        <f t="shared" si="2"/>
        <v>55</v>
      </c>
      <c r="Z17" s="402">
        <f>SUM(G17,P17)</f>
        <v>15</v>
      </c>
      <c r="AA17" s="402">
        <f>SUM(I17,R17)</f>
        <v>25</v>
      </c>
      <c r="AB17" s="402">
        <f>SUM(K17,T17)</f>
        <v>15</v>
      </c>
      <c r="AC17" s="402">
        <f>SUM(M17,V17)</f>
        <v>0</v>
      </c>
      <c r="AD17" s="402">
        <f>SUM(G17:N17,P17:W17)</f>
        <v>100</v>
      </c>
      <c r="AE17" s="402">
        <f>SUM(O17,X17)</f>
        <v>4</v>
      </c>
    </row>
    <row r="18" spans="1:31" ht="21.75" customHeight="1">
      <c r="A18" s="474" t="s">
        <v>9</v>
      </c>
      <c r="B18" s="475"/>
      <c r="C18" s="475"/>
      <c r="D18" s="475"/>
      <c r="E18" s="475"/>
      <c r="F18" s="476"/>
      <c r="G18" s="58">
        <f t="shared" ref="G18:O18" si="3">SUM(G14:G17)</f>
        <v>30</v>
      </c>
      <c r="H18" s="427">
        <f t="shared" si="3"/>
        <v>20</v>
      </c>
      <c r="I18" s="58">
        <f t="shared" si="3"/>
        <v>35</v>
      </c>
      <c r="J18" s="188">
        <f t="shared" si="3"/>
        <v>35</v>
      </c>
      <c r="K18" s="58">
        <f t="shared" si="3"/>
        <v>30</v>
      </c>
      <c r="L18" s="188">
        <f t="shared" si="3"/>
        <v>0</v>
      </c>
      <c r="M18" s="58">
        <f t="shared" si="3"/>
        <v>0</v>
      </c>
      <c r="N18" s="188">
        <f t="shared" si="3"/>
        <v>0</v>
      </c>
      <c r="O18" s="58">
        <f t="shared" si="3"/>
        <v>6</v>
      </c>
      <c r="P18" s="58">
        <f t="shared" ref="P18:T18" si="4">SUM(P14:P17)</f>
        <v>45</v>
      </c>
      <c r="Q18" s="188">
        <f t="shared" si="4"/>
        <v>20</v>
      </c>
      <c r="R18" s="58">
        <f t="shared" si="4"/>
        <v>40</v>
      </c>
      <c r="S18" s="188">
        <f t="shared" si="4"/>
        <v>25</v>
      </c>
      <c r="T18" s="58">
        <f t="shared" si="4"/>
        <v>45</v>
      </c>
      <c r="U18" s="188">
        <f t="shared" ref="U18:AE18" si="5">SUM(U14:U17)</f>
        <v>0</v>
      </c>
      <c r="V18" s="58">
        <f t="shared" si="5"/>
        <v>0</v>
      </c>
      <c r="W18" s="188">
        <f t="shared" si="5"/>
        <v>0</v>
      </c>
      <c r="X18" s="58">
        <f t="shared" si="5"/>
        <v>7</v>
      </c>
      <c r="Y18" s="58">
        <f t="shared" si="5"/>
        <v>225</v>
      </c>
      <c r="Z18" s="58">
        <f t="shared" si="5"/>
        <v>75</v>
      </c>
      <c r="AA18" s="58">
        <f t="shared" si="5"/>
        <v>75</v>
      </c>
      <c r="AB18" s="58">
        <f t="shared" si="5"/>
        <v>75</v>
      </c>
      <c r="AC18" s="58">
        <f t="shared" si="5"/>
        <v>0</v>
      </c>
      <c r="AD18" s="58">
        <f t="shared" si="5"/>
        <v>325</v>
      </c>
      <c r="AE18" s="58">
        <f t="shared" si="5"/>
        <v>13</v>
      </c>
    </row>
    <row r="19" spans="1:31" ht="20.25" customHeight="1">
      <c r="A19" s="52" t="s">
        <v>26</v>
      </c>
      <c r="B19" s="53"/>
      <c r="C19" s="54"/>
      <c r="D19" s="53"/>
      <c r="E19" s="53"/>
      <c r="F19" s="53"/>
      <c r="G19" s="55"/>
      <c r="H19" s="195"/>
      <c r="I19" s="55"/>
      <c r="J19" s="195"/>
      <c r="K19" s="55"/>
      <c r="L19" s="195"/>
      <c r="M19" s="55"/>
      <c r="N19" s="195"/>
      <c r="O19" s="55"/>
      <c r="P19" s="55"/>
      <c r="Q19" s="55"/>
      <c r="R19" s="55"/>
      <c r="S19" s="55"/>
      <c r="T19" s="55"/>
      <c r="U19" s="55"/>
      <c r="V19" s="55"/>
      <c r="W19" s="55"/>
      <c r="X19" s="55"/>
      <c r="Y19" s="55"/>
      <c r="Z19" s="55"/>
      <c r="AA19" s="55"/>
      <c r="AB19" s="55"/>
      <c r="AC19" s="55"/>
      <c r="AD19" s="55"/>
      <c r="AE19" s="56"/>
    </row>
    <row r="20" spans="1:31" ht="32.25" customHeight="1">
      <c r="A20" s="59">
        <v>6.2</v>
      </c>
      <c r="B20" s="103" t="s">
        <v>63</v>
      </c>
      <c r="C20" s="47" t="str">
        <f>"0912-7LEK-C"&amp;A20&amp;"-"&amp;UPPER(LEFT(B20,1))</f>
        <v>0912-7LEK-C6.2-C</v>
      </c>
      <c r="D20" s="48">
        <v>12</v>
      </c>
      <c r="E20" s="171" t="s">
        <v>340</v>
      </c>
      <c r="F20" s="49"/>
      <c r="G20" s="395">
        <v>15</v>
      </c>
      <c r="H20" s="413">
        <v>10</v>
      </c>
      <c r="I20" s="395">
        <v>15</v>
      </c>
      <c r="J20" s="187">
        <v>10</v>
      </c>
      <c r="K20" s="395">
        <v>25</v>
      </c>
      <c r="L20" s="187"/>
      <c r="M20" s="140"/>
      <c r="N20" s="187"/>
      <c r="O20" s="395">
        <v>3</v>
      </c>
      <c r="P20" s="138">
        <v>15</v>
      </c>
      <c r="Q20" s="190">
        <v>10</v>
      </c>
      <c r="R20" s="138">
        <v>15</v>
      </c>
      <c r="S20" s="190">
        <v>10</v>
      </c>
      <c r="T20" s="138">
        <v>25</v>
      </c>
      <c r="U20" s="190"/>
      <c r="V20" s="138"/>
      <c r="W20" s="190"/>
      <c r="X20" s="138">
        <v>3</v>
      </c>
      <c r="Y20" s="50">
        <f>SUM(Z20:AC20)</f>
        <v>110</v>
      </c>
      <c r="Z20" s="50">
        <f t="shared" ref="Z20:Z30" si="6">SUM(G20,P20)</f>
        <v>30</v>
      </c>
      <c r="AA20" s="50">
        <f t="shared" ref="AA20:AA30" si="7">SUM(I20,R20)</f>
        <v>30</v>
      </c>
      <c r="AB20" s="50">
        <f t="shared" ref="AB20:AB30" si="8">SUM(K20,T20)</f>
        <v>50</v>
      </c>
      <c r="AC20" s="50">
        <f t="shared" ref="AC20:AC30" si="9">SUM(M20,V20)</f>
        <v>0</v>
      </c>
      <c r="AD20" s="50">
        <f>SUM(G20:N20,P20:W20)</f>
        <v>150</v>
      </c>
      <c r="AE20" s="50">
        <f t="shared" ref="AE20:AE30" si="10">SUM(O20,X20)</f>
        <v>6</v>
      </c>
    </row>
    <row r="21" spans="1:31" ht="32.25" customHeight="1">
      <c r="A21" s="59">
        <v>6.3</v>
      </c>
      <c r="B21" s="103" t="s">
        <v>64</v>
      </c>
      <c r="C21" s="47" t="str">
        <f>RAZEM!C55</f>
        <v>0912-7LEK-C6.3-CD</v>
      </c>
      <c r="D21" s="48">
        <v>9</v>
      </c>
      <c r="E21" s="49">
        <v>9</v>
      </c>
      <c r="F21" s="49"/>
      <c r="G21" s="395">
        <v>15</v>
      </c>
      <c r="H21" s="413">
        <v>10</v>
      </c>
      <c r="I21" s="395">
        <v>15</v>
      </c>
      <c r="J21" s="413">
        <v>10</v>
      </c>
      <c r="K21" s="395">
        <v>25</v>
      </c>
      <c r="L21" s="187"/>
      <c r="M21" s="140"/>
      <c r="N21" s="187"/>
      <c r="O21" s="395">
        <v>3</v>
      </c>
      <c r="P21" s="138"/>
      <c r="Q21" s="190"/>
      <c r="R21" s="138"/>
      <c r="S21" s="190"/>
      <c r="T21" s="138"/>
      <c r="U21" s="190"/>
      <c r="V21" s="138"/>
      <c r="W21" s="190"/>
      <c r="X21" s="138"/>
      <c r="Y21" s="50">
        <f t="shared" ref="Y21:Y30" si="11">SUM(Z21:AC21)</f>
        <v>55</v>
      </c>
      <c r="Z21" s="50">
        <f t="shared" si="6"/>
        <v>15</v>
      </c>
      <c r="AA21" s="50">
        <f t="shared" si="7"/>
        <v>15</v>
      </c>
      <c r="AB21" s="50">
        <f t="shared" si="8"/>
        <v>25</v>
      </c>
      <c r="AC21" s="50">
        <f t="shared" si="9"/>
        <v>0</v>
      </c>
      <c r="AD21" s="50">
        <f t="shared" ref="AD21:AD30" si="12">SUM(G21:N21,P21:W21)</f>
        <v>75</v>
      </c>
      <c r="AE21" s="50">
        <f t="shared" si="10"/>
        <v>3</v>
      </c>
    </row>
    <row r="22" spans="1:31" ht="32.25" customHeight="1">
      <c r="A22" s="59">
        <v>6.4</v>
      </c>
      <c r="B22" s="103" t="s">
        <v>65</v>
      </c>
      <c r="C22" s="47" t="str">
        <f>RAZEM!C56</f>
        <v>0912-7LEK-C6.4-OiT</v>
      </c>
      <c r="D22" s="48">
        <v>9</v>
      </c>
      <c r="E22" s="49">
        <v>9</v>
      </c>
      <c r="F22" s="49"/>
      <c r="G22" s="395">
        <v>15</v>
      </c>
      <c r="H22" s="413">
        <v>10</v>
      </c>
      <c r="I22" s="395">
        <v>15</v>
      </c>
      <c r="J22" s="413">
        <v>10</v>
      </c>
      <c r="K22" s="395">
        <v>25</v>
      </c>
      <c r="L22" s="177"/>
      <c r="M22" s="177"/>
      <c r="N22" s="177"/>
      <c r="O22" s="395">
        <v>3</v>
      </c>
      <c r="P22" s="138"/>
      <c r="Q22" s="190"/>
      <c r="R22" s="138"/>
      <c r="S22" s="190"/>
      <c r="T22" s="138"/>
      <c r="U22" s="190"/>
      <c r="V22" s="138"/>
      <c r="W22" s="190"/>
      <c r="X22" s="138"/>
      <c r="Y22" s="50">
        <f t="shared" si="11"/>
        <v>55</v>
      </c>
      <c r="Z22" s="50">
        <f t="shared" si="6"/>
        <v>15</v>
      </c>
      <c r="AA22" s="50">
        <f t="shared" si="7"/>
        <v>15</v>
      </c>
      <c r="AB22" s="50">
        <f t="shared" si="8"/>
        <v>25</v>
      </c>
      <c r="AC22" s="50">
        <f t="shared" si="9"/>
        <v>0</v>
      </c>
      <c r="AD22" s="50">
        <f t="shared" si="12"/>
        <v>75</v>
      </c>
      <c r="AE22" s="50">
        <f t="shared" si="10"/>
        <v>3</v>
      </c>
    </row>
    <row r="23" spans="1:31" ht="32.25" customHeight="1">
      <c r="A23" s="59">
        <v>6.5</v>
      </c>
      <c r="B23" s="103" t="s">
        <v>344</v>
      </c>
      <c r="C23" s="47" t="str">
        <f t="shared" ref="C23:C30" si="13">"0912-7LEK-C"&amp;A23&amp;"-"&amp;UPPER(LEFT(B23,1))</f>
        <v>0912-7LEK-C6.5-C</v>
      </c>
      <c r="D23" s="48">
        <v>10</v>
      </c>
      <c r="E23" s="49">
        <v>10</v>
      </c>
      <c r="F23" s="49"/>
      <c r="G23" s="395"/>
      <c r="H23" s="413"/>
      <c r="I23" s="395"/>
      <c r="J23" s="413"/>
      <c r="K23" s="395"/>
      <c r="L23" s="177"/>
      <c r="M23" s="177"/>
      <c r="N23" s="177"/>
      <c r="O23" s="395"/>
      <c r="P23" s="138">
        <v>15</v>
      </c>
      <c r="Q23" s="190">
        <v>5</v>
      </c>
      <c r="R23" s="138">
        <v>10</v>
      </c>
      <c r="S23" s="190"/>
      <c r="T23" s="138">
        <v>20</v>
      </c>
      <c r="U23" s="190"/>
      <c r="V23" s="138"/>
      <c r="W23" s="190"/>
      <c r="X23" s="138">
        <v>2</v>
      </c>
      <c r="Y23" s="50">
        <f t="shared" si="11"/>
        <v>45</v>
      </c>
      <c r="Z23" s="50">
        <f t="shared" si="6"/>
        <v>15</v>
      </c>
      <c r="AA23" s="50">
        <f t="shared" si="7"/>
        <v>10</v>
      </c>
      <c r="AB23" s="50">
        <f t="shared" si="8"/>
        <v>20</v>
      </c>
      <c r="AC23" s="50">
        <f t="shared" si="9"/>
        <v>0</v>
      </c>
      <c r="AD23" s="50">
        <f t="shared" si="12"/>
        <v>50</v>
      </c>
      <c r="AE23" s="50">
        <f t="shared" si="10"/>
        <v>2</v>
      </c>
    </row>
    <row r="24" spans="1:31" ht="32.25" customHeight="1">
      <c r="A24" s="59">
        <v>6.6</v>
      </c>
      <c r="B24" s="180" t="s">
        <v>67</v>
      </c>
      <c r="C24" s="47" t="str">
        <f t="shared" si="13"/>
        <v>0912-7LEK-C6.6-U</v>
      </c>
      <c r="D24" s="48">
        <v>10</v>
      </c>
      <c r="E24" s="49">
        <v>10</v>
      </c>
      <c r="F24" s="49"/>
      <c r="G24" s="395"/>
      <c r="H24" s="413"/>
      <c r="I24" s="395"/>
      <c r="J24" s="413"/>
      <c r="K24" s="395"/>
      <c r="L24" s="187"/>
      <c r="M24" s="140"/>
      <c r="N24" s="187"/>
      <c r="O24" s="395"/>
      <c r="P24" s="138">
        <v>15</v>
      </c>
      <c r="Q24" s="190">
        <v>15</v>
      </c>
      <c r="R24" s="138">
        <v>15</v>
      </c>
      <c r="S24" s="190">
        <v>15</v>
      </c>
      <c r="T24" s="138">
        <v>15</v>
      </c>
      <c r="U24" s="190"/>
      <c r="V24" s="138"/>
      <c r="W24" s="190"/>
      <c r="X24" s="138">
        <v>3</v>
      </c>
      <c r="Y24" s="50">
        <f t="shared" si="11"/>
        <v>45</v>
      </c>
      <c r="Z24" s="50">
        <f t="shared" si="6"/>
        <v>15</v>
      </c>
      <c r="AA24" s="50">
        <f t="shared" si="7"/>
        <v>15</v>
      </c>
      <c r="AB24" s="50">
        <f t="shared" si="8"/>
        <v>15</v>
      </c>
      <c r="AC24" s="50">
        <f t="shared" si="9"/>
        <v>0</v>
      </c>
      <c r="AD24" s="50">
        <f t="shared" si="12"/>
        <v>75</v>
      </c>
      <c r="AE24" s="50">
        <f t="shared" si="10"/>
        <v>3</v>
      </c>
    </row>
    <row r="25" spans="1:31" s="35" customFormat="1" ht="32.25" customHeight="1">
      <c r="A25" s="154">
        <v>6.7</v>
      </c>
      <c r="B25" s="105" t="s">
        <v>68</v>
      </c>
      <c r="C25" s="374" t="str">
        <f t="shared" si="13"/>
        <v>0912-7LEK-C6.7-O</v>
      </c>
      <c r="D25" s="375">
        <v>9</v>
      </c>
      <c r="E25" s="376">
        <v>9</v>
      </c>
      <c r="F25" s="357"/>
      <c r="G25" s="395">
        <v>15</v>
      </c>
      <c r="H25" s="413">
        <v>15</v>
      </c>
      <c r="I25" s="395">
        <v>15</v>
      </c>
      <c r="J25" s="413">
        <v>15</v>
      </c>
      <c r="K25" s="395">
        <v>15</v>
      </c>
      <c r="L25" s="177"/>
      <c r="M25" s="177"/>
      <c r="N25" s="177"/>
      <c r="O25" s="395">
        <v>3</v>
      </c>
      <c r="P25" s="348"/>
      <c r="Q25" s="348"/>
      <c r="R25" s="348"/>
      <c r="S25" s="348"/>
      <c r="T25" s="348"/>
      <c r="U25" s="348"/>
      <c r="V25" s="348"/>
      <c r="W25" s="348"/>
      <c r="X25" s="348"/>
      <c r="Y25" s="50">
        <f t="shared" si="11"/>
        <v>45</v>
      </c>
      <c r="Z25" s="402">
        <f t="shared" si="6"/>
        <v>15</v>
      </c>
      <c r="AA25" s="402">
        <f t="shared" si="7"/>
        <v>15</v>
      </c>
      <c r="AB25" s="402">
        <f t="shared" si="8"/>
        <v>15</v>
      </c>
      <c r="AC25" s="402">
        <f t="shared" si="9"/>
        <v>0</v>
      </c>
      <c r="AD25" s="402">
        <f t="shared" si="12"/>
        <v>75</v>
      </c>
      <c r="AE25" s="402">
        <f t="shared" si="10"/>
        <v>3</v>
      </c>
    </row>
    <row r="26" spans="1:31" ht="39" customHeight="1">
      <c r="A26" s="59">
        <v>6.8</v>
      </c>
      <c r="B26" s="180" t="s">
        <v>345</v>
      </c>
      <c r="C26" s="47" t="str">
        <f t="shared" si="13"/>
        <v>0912-7LEK-C6.8-M</v>
      </c>
      <c r="D26" s="48">
        <v>12</v>
      </c>
      <c r="E26" s="49">
        <v>9</v>
      </c>
      <c r="F26" s="49"/>
      <c r="G26" s="395">
        <v>15</v>
      </c>
      <c r="H26" s="413">
        <v>10</v>
      </c>
      <c r="I26" s="395">
        <v>10</v>
      </c>
      <c r="J26" s="413">
        <v>0</v>
      </c>
      <c r="K26" s="395">
        <v>15</v>
      </c>
      <c r="L26" s="187"/>
      <c r="M26" s="140"/>
      <c r="N26" s="187"/>
      <c r="O26" s="395">
        <v>2</v>
      </c>
      <c r="P26" s="138"/>
      <c r="Q26" s="190"/>
      <c r="R26" s="138"/>
      <c r="S26" s="190"/>
      <c r="T26" s="138"/>
      <c r="U26" s="190"/>
      <c r="V26" s="138"/>
      <c r="W26" s="190"/>
      <c r="X26" s="138"/>
      <c r="Y26" s="50">
        <f t="shared" si="11"/>
        <v>40</v>
      </c>
      <c r="Z26" s="50">
        <f t="shared" si="6"/>
        <v>15</v>
      </c>
      <c r="AA26" s="50">
        <f t="shared" si="7"/>
        <v>10</v>
      </c>
      <c r="AB26" s="50">
        <f t="shared" si="8"/>
        <v>15</v>
      </c>
      <c r="AC26" s="50">
        <f t="shared" si="9"/>
        <v>0</v>
      </c>
      <c r="AD26" s="50">
        <f t="shared" si="12"/>
        <v>50</v>
      </c>
      <c r="AE26" s="50">
        <f t="shared" si="10"/>
        <v>2</v>
      </c>
    </row>
    <row r="27" spans="1:31" ht="32.25" customHeight="1">
      <c r="A27" s="59">
        <v>6.9</v>
      </c>
      <c r="B27" s="180" t="s">
        <v>70</v>
      </c>
      <c r="C27" s="47" t="str">
        <f t="shared" si="13"/>
        <v>0912-7LEK-C6.9-G</v>
      </c>
      <c r="D27" s="48">
        <v>12</v>
      </c>
      <c r="E27" s="49" t="s">
        <v>204</v>
      </c>
      <c r="F27" s="49"/>
      <c r="G27" s="395">
        <v>15</v>
      </c>
      <c r="H27" s="413">
        <v>10</v>
      </c>
      <c r="I27" s="395">
        <v>20</v>
      </c>
      <c r="J27" s="413">
        <v>10</v>
      </c>
      <c r="K27" s="395">
        <v>20</v>
      </c>
      <c r="L27" s="187"/>
      <c r="M27" s="140"/>
      <c r="N27" s="187"/>
      <c r="O27" s="395">
        <v>3</v>
      </c>
      <c r="P27" s="138">
        <v>15</v>
      </c>
      <c r="Q27" s="190">
        <v>10</v>
      </c>
      <c r="R27" s="138">
        <v>15</v>
      </c>
      <c r="S27" s="190">
        <v>10</v>
      </c>
      <c r="T27" s="138">
        <v>25</v>
      </c>
      <c r="U27" s="190"/>
      <c r="V27" s="138"/>
      <c r="W27" s="190"/>
      <c r="X27" s="138">
        <v>3</v>
      </c>
      <c r="Y27" s="50">
        <f t="shared" si="11"/>
        <v>110</v>
      </c>
      <c r="Z27" s="50">
        <f t="shared" si="6"/>
        <v>30</v>
      </c>
      <c r="AA27" s="50">
        <f t="shared" si="7"/>
        <v>35</v>
      </c>
      <c r="AB27" s="50">
        <f>SUM(K27,T27)</f>
        <v>45</v>
      </c>
      <c r="AC27" s="50">
        <f t="shared" si="9"/>
        <v>0</v>
      </c>
      <c r="AD27" s="50">
        <f t="shared" si="12"/>
        <v>150</v>
      </c>
      <c r="AE27" s="50">
        <f t="shared" si="10"/>
        <v>6</v>
      </c>
    </row>
    <row r="28" spans="1:31" ht="32.25" customHeight="1">
      <c r="A28" s="169" t="s">
        <v>260</v>
      </c>
      <c r="B28" s="180" t="s">
        <v>71</v>
      </c>
      <c r="C28" s="47" t="str">
        <f t="shared" si="13"/>
        <v>0912-7LEK-C6.10-O</v>
      </c>
      <c r="D28" s="48">
        <v>10</v>
      </c>
      <c r="E28" s="49">
        <v>10</v>
      </c>
      <c r="F28" s="49"/>
      <c r="G28" s="395"/>
      <c r="H28" s="413"/>
      <c r="I28" s="140"/>
      <c r="J28" s="187"/>
      <c r="K28" s="140"/>
      <c r="L28" s="187"/>
      <c r="M28" s="140"/>
      <c r="N28" s="187"/>
      <c r="O28" s="395"/>
      <c r="P28" s="138">
        <v>15</v>
      </c>
      <c r="Q28" s="190">
        <v>10</v>
      </c>
      <c r="R28" s="138">
        <v>10</v>
      </c>
      <c r="S28" s="190"/>
      <c r="T28" s="138">
        <v>15</v>
      </c>
      <c r="U28" s="190"/>
      <c r="V28" s="138"/>
      <c r="W28" s="190"/>
      <c r="X28" s="138">
        <v>2</v>
      </c>
      <c r="Y28" s="50">
        <f t="shared" si="11"/>
        <v>40</v>
      </c>
      <c r="Z28" s="50">
        <f t="shared" si="6"/>
        <v>15</v>
      </c>
      <c r="AA28" s="50">
        <f t="shared" si="7"/>
        <v>10</v>
      </c>
      <c r="AB28" s="50">
        <f t="shared" si="8"/>
        <v>15</v>
      </c>
      <c r="AC28" s="50">
        <f t="shared" si="9"/>
        <v>0</v>
      </c>
      <c r="AD28" s="50">
        <f t="shared" si="12"/>
        <v>50</v>
      </c>
      <c r="AE28" s="50">
        <f t="shared" si="10"/>
        <v>2</v>
      </c>
    </row>
    <row r="29" spans="1:31" ht="32.25" customHeight="1">
      <c r="A29" s="102">
        <v>6.12</v>
      </c>
      <c r="B29" s="180" t="s">
        <v>73</v>
      </c>
      <c r="C29" s="47" t="str">
        <f t="shared" si="13"/>
        <v>0912-7LEK-C6.12-T</v>
      </c>
      <c r="D29" s="48">
        <v>9</v>
      </c>
      <c r="E29" s="49">
        <v>9</v>
      </c>
      <c r="F29" s="49"/>
      <c r="G29" s="395">
        <v>15</v>
      </c>
      <c r="H29" s="413">
        <v>10</v>
      </c>
      <c r="I29" s="140"/>
      <c r="J29" s="187"/>
      <c r="K29" s="140"/>
      <c r="L29" s="187"/>
      <c r="M29" s="140"/>
      <c r="N29" s="187"/>
      <c r="O29" s="395">
        <v>1</v>
      </c>
      <c r="P29" s="138"/>
      <c r="Q29" s="190"/>
      <c r="R29" s="138"/>
      <c r="S29" s="190"/>
      <c r="T29" s="138"/>
      <c r="U29" s="190"/>
      <c r="V29" s="138"/>
      <c r="W29" s="190"/>
      <c r="X29" s="138"/>
      <c r="Y29" s="50">
        <f t="shared" si="11"/>
        <v>15</v>
      </c>
      <c r="Z29" s="50">
        <f t="shared" si="6"/>
        <v>15</v>
      </c>
      <c r="AA29" s="50">
        <f t="shared" si="7"/>
        <v>0</v>
      </c>
      <c r="AB29" s="50">
        <f t="shared" si="8"/>
        <v>0</v>
      </c>
      <c r="AC29" s="50">
        <f t="shared" si="9"/>
        <v>0</v>
      </c>
      <c r="AD29" s="50">
        <f t="shared" si="12"/>
        <v>25</v>
      </c>
      <c r="AE29" s="50">
        <f t="shared" si="10"/>
        <v>1</v>
      </c>
    </row>
    <row r="30" spans="1:31" ht="32.25" customHeight="1">
      <c r="A30" s="102">
        <v>6.11</v>
      </c>
      <c r="B30" s="180" t="s">
        <v>72</v>
      </c>
      <c r="C30" s="47" t="str">
        <f t="shared" si="13"/>
        <v>0912-7LEK-C6.11-N</v>
      </c>
      <c r="D30" s="48">
        <v>10</v>
      </c>
      <c r="E30" s="49">
        <v>10</v>
      </c>
      <c r="F30" s="49"/>
      <c r="G30" s="140"/>
      <c r="H30" s="187"/>
      <c r="I30" s="140"/>
      <c r="J30" s="187"/>
      <c r="K30" s="140"/>
      <c r="L30" s="187"/>
      <c r="M30" s="140"/>
      <c r="N30" s="187"/>
      <c r="O30" s="140"/>
      <c r="P30" s="138">
        <v>15</v>
      </c>
      <c r="Q30" s="190">
        <v>5</v>
      </c>
      <c r="R30" s="138">
        <v>15</v>
      </c>
      <c r="S30" s="190"/>
      <c r="T30" s="138">
        <v>15</v>
      </c>
      <c r="U30" s="190"/>
      <c r="V30" s="138"/>
      <c r="W30" s="190"/>
      <c r="X30" s="138">
        <v>2</v>
      </c>
      <c r="Y30" s="50">
        <f t="shared" si="11"/>
        <v>45</v>
      </c>
      <c r="Z30" s="50">
        <f t="shared" si="6"/>
        <v>15</v>
      </c>
      <c r="AA30" s="50">
        <f t="shared" si="7"/>
        <v>15</v>
      </c>
      <c r="AB30" s="50">
        <f t="shared" si="8"/>
        <v>15</v>
      </c>
      <c r="AC30" s="50">
        <f t="shared" si="9"/>
        <v>0</v>
      </c>
      <c r="AD30" s="50">
        <f t="shared" si="12"/>
        <v>50</v>
      </c>
      <c r="AE30" s="50">
        <f t="shared" si="10"/>
        <v>2</v>
      </c>
    </row>
    <row r="31" spans="1:31" ht="15.75">
      <c r="A31" s="474" t="s">
        <v>9</v>
      </c>
      <c r="B31" s="475"/>
      <c r="C31" s="475"/>
      <c r="D31" s="475"/>
      <c r="E31" s="475"/>
      <c r="F31" s="476"/>
      <c r="G31" s="58">
        <f>SUM(G20:G30)</f>
        <v>105</v>
      </c>
      <c r="H31" s="188">
        <f t="shared" ref="H31:X31" si="14">SUM(H20:H30)</f>
        <v>75</v>
      </c>
      <c r="I31" s="58">
        <f t="shared" si="14"/>
        <v>90</v>
      </c>
      <c r="J31" s="188">
        <f t="shared" si="14"/>
        <v>55</v>
      </c>
      <c r="K31" s="58">
        <f t="shared" si="14"/>
        <v>125</v>
      </c>
      <c r="L31" s="188">
        <f t="shared" si="14"/>
        <v>0</v>
      </c>
      <c r="M31" s="58">
        <f t="shared" si="14"/>
        <v>0</v>
      </c>
      <c r="N31" s="188">
        <f t="shared" si="14"/>
        <v>0</v>
      </c>
      <c r="O31" s="58">
        <f t="shared" si="14"/>
        <v>18</v>
      </c>
      <c r="P31" s="58">
        <f t="shared" si="14"/>
        <v>90</v>
      </c>
      <c r="Q31" s="188">
        <f t="shared" si="14"/>
        <v>55</v>
      </c>
      <c r="R31" s="58">
        <f t="shared" si="14"/>
        <v>80</v>
      </c>
      <c r="S31" s="188">
        <f t="shared" si="14"/>
        <v>35</v>
      </c>
      <c r="T31" s="58">
        <f t="shared" si="14"/>
        <v>115</v>
      </c>
      <c r="U31" s="188">
        <f t="shared" si="14"/>
        <v>0</v>
      </c>
      <c r="V31" s="58">
        <f t="shared" si="14"/>
        <v>0</v>
      </c>
      <c r="W31" s="188">
        <f t="shared" si="14"/>
        <v>0</v>
      </c>
      <c r="X31" s="58">
        <f t="shared" si="14"/>
        <v>15</v>
      </c>
      <c r="Y31" s="58">
        <f>SUM(Y20:Y30)</f>
        <v>605</v>
      </c>
      <c r="Z31" s="58">
        <f>SUM(Z20:Z30)</f>
        <v>195</v>
      </c>
      <c r="AA31" s="58">
        <f t="shared" ref="AA31:AC31" si="15">SUM(AA20:AA30)</f>
        <v>170</v>
      </c>
      <c r="AB31" s="58">
        <f t="shared" si="15"/>
        <v>240</v>
      </c>
      <c r="AC31" s="58">
        <f t="shared" si="15"/>
        <v>0</v>
      </c>
      <c r="AD31" s="58">
        <f>SUM(AD20:AD30)</f>
        <v>825</v>
      </c>
      <c r="AE31" s="58">
        <f>SUM(AE20:AE30)</f>
        <v>33</v>
      </c>
    </row>
    <row r="32" spans="1:31" ht="21.75" customHeight="1">
      <c r="A32" s="52" t="s">
        <v>27</v>
      </c>
      <c r="B32" s="53"/>
      <c r="C32" s="54"/>
      <c r="D32" s="53"/>
      <c r="E32" s="53"/>
      <c r="F32" s="53"/>
      <c r="G32" s="55"/>
      <c r="H32" s="55"/>
      <c r="I32" s="55"/>
      <c r="J32" s="55"/>
      <c r="K32" s="55"/>
      <c r="L32" s="55"/>
      <c r="M32" s="55"/>
      <c r="N32" s="55"/>
      <c r="O32" s="55"/>
      <c r="P32" s="55"/>
      <c r="Q32" s="55"/>
      <c r="R32" s="55"/>
      <c r="S32" s="55"/>
      <c r="T32" s="55"/>
      <c r="U32" s="55"/>
      <c r="V32" s="55"/>
      <c r="W32" s="55"/>
      <c r="X32" s="55"/>
      <c r="Y32" s="55"/>
      <c r="Z32" s="55"/>
      <c r="AA32" s="55"/>
      <c r="AB32" s="55"/>
      <c r="AC32" s="55"/>
      <c r="AD32" s="55"/>
      <c r="AE32" s="56"/>
    </row>
    <row r="33" spans="1:31" ht="31.5" customHeight="1">
      <c r="A33" s="59">
        <v>7.4</v>
      </c>
      <c r="B33" s="180" t="s">
        <v>78</v>
      </c>
      <c r="C33" s="47" t="str">
        <f>"0912-7LEK-B"&amp;A33&amp;"-"&amp;UPPER(LEFT(B33,1))</f>
        <v>0912-7LEK-B7.4-P</v>
      </c>
      <c r="D33" s="48"/>
      <c r="E33" s="49">
        <v>9</v>
      </c>
      <c r="F33" s="49"/>
      <c r="G33" s="140">
        <v>15</v>
      </c>
      <c r="H33" s="187">
        <v>10</v>
      </c>
      <c r="I33" s="140"/>
      <c r="J33" s="187"/>
      <c r="K33" s="140"/>
      <c r="L33" s="187"/>
      <c r="M33" s="140"/>
      <c r="N33" s="187"/>
      <c r="O33" s="140">
        <v>1</v>
      </c>
      <c r="P33" s="138"/>
      <c r="Q33" s="190"/>
      <c r="R33" s="138"/>
      <c r="S33" s="190"/>
      <c r="T33" s="138"/>
      <c r="U33" s="190"/>
      <c r="V33" s="138"/>
      <c r="W33" s="190"/>
      <c r="X33" s="138"/>
      <c r="Y33" s="50">
        <f>SUM(Z33:AC33)</f>
        <v>15</v>
      </c>
      <c r="Z33" s="50">
        <f>SUM(G33,P33)</f>
        <v>15</v>
      </c>
      <c r="AA33" s="50">
        <f>SUM(I33,R33)</f>
        <v>0</v>
      </c>
      <c r="AB33" s="50">
        <f>SUM(K33,T33)</f>
        <v>0</v>
      </c>
      <c r="AC33" s="50">
        <f>SUM(M33,V33)</f>
        <v>0</v>
      </c>
      <c r="AD33" s="50">
        <f>SUM(G33:N33,P33:W33)</f>
        <v>25</v>
      </c>
      <c r="AE33" s="50">
        <f>SUM(O33,X33)</f>
        <v>1</v>
      </c>
    </row>
    <row r="34" spans="1:31" ht="31.5" customHeight="1">
      <c r="A34" s="59">
        <v>7.5</v>
      </c>
      <c r="B34" s="180" t="s">
        <v>79</v>
      </c>
      <c r="C34" s="47" t="str">
        <f>"0912-7LEK-B"&amp;A34&amp;"-"&amp;UPPER(LEFT(B34,1))</f>
        <v>0912-7LEK-B7.5-M</v>
      </c>
      <c r="D34" s="48">
        <v>10</v>
      </c>
      <c r="E34" s="49">
        <v>10</v>
      </c>
      <c r="F34" s="49"/>
      <c r="G34" s="140"/>
      <c r="H34" s="187"/>
      <c r="I34" s="140"/>
      <c r="J34" s="187"/>
      <c r="K34" s="140"/>
      <c r="L34" s="187"/>
      <c r="M34" s="140"/>
      <c r="N34" s="187"/>
      <c r="O34" s="140"/>
      <c r="P34" s="394">
        <v>20</v>
      </c>
      <c r="Q34" s="424">
        <v>5</v>
      </c>
      <c r="R34" s="394">
        <v>15</v>
      </c>
      <c r="S34" s="424">
        <v>5</v>
      </c>
      <c r="T34" s="394">
        <v>5</v>
      </c>
      <c r="U34" s="190"/>
      <c r="V34" s="138"/>
      <c r="W34" s="190"/>
      <c r="X34" s="138">
        <v>2</v>
      </c>
      <c r="Y34" s="50">
        <f>SUM(Z34:AC34)</f>
        <v>40</v>
      </c>
      <c r="Z34" s="50">
        <f>SUM(G34,P34)</f>
        <v>20</v>
      </c>
      <c r="AA34" s="50">
        <f>SUM(I34,R34)</f>
        <v>15</v>
      </c>
      <c r="AB34" s="50">
        <f>SUM(K34,T34)</f>
        <v>5</v>
      </c>
      <c r="AC34" s="50">
        <f>SUM(M34,V34)</f>
        <v>0</v>
      </c>
      <c r="AD34" s="50">
        <f>SUM(G34:N34,P34:W34)</f>
        <v>50</v>
      </c>
      <c r="AE34" s="50">
        <f>SUM(O34,X34)</f>
        <v>2</v>
      </c>
    </row>
    <row r="35" spans="1:31" ht="15.75">
      <c r="A35" s="474" t="s">
        <v>9</v>
      </c>
      <c r="B35" s="475"/>
      <c r="C35" s="475"/>
      <c r="D35" s="475"/>
      <c r="E35" s="475"/>
      <c r="F35" s="476"/>
      <c r="G35" s="58">
        <f t="shared" ref="G35:X35" si="16">SUM(G33:G34)</f>
        <v>15</v>
      </c>
      <c r="H35" s="188">
        <f t="shared" si="16"/>
        <v>10</v>
      </c>
      <c r="I35" s="58">
        <f t="shared" si="16"/>
        <v>0</v>
      </c>
      <c r="J35" s="188">
        <f t="shared" si="16"/>
        <v>0</v>
      </c>
      <c r="K35" s="58">
        <f t="shared" si="16"/>
        <v>0</v>
      </c>
      <c r="L35" s="188">
        <f t="shared" si="16"/>
        <v>0</v>
      </c>
      <c r="M35" s="58">
        <f t="shared" si="16"/>
        <v>0</v>
      </c>
      <c r="N35" s="188">
        <f t="shared" si="16"/>
        <v>0</v>
      </c>
      <c r="O35" s="58">
        <f t="shared" si="16"/>
        <v>1</v>
      </c>
      <c r="P35" s="58">
        <f t="shared" si="16"/>
        <v>20</v>
      </c>
      <c r="Q35" s="188">
        <f t="shared" si="16"/>
        <v>5</v>
      </c>
      <c r="R35" s="58">
        <f t="shared" si="16"/>
        <v>15</v>
      </c>
      <c r="S35" s="188">
        <f t="shared" si="16"/>
        <v>5</v>
      </c>
      <c r="T35" s="58">
        <f t="shared" si="16"/>
        <v>5</v>
      </c>
      <c r="U35" s="188">
        <f t="shared" si="16"/>
        <v>0</v>
      </c>
      <c r="V35" s="58">
        <f t="shared" si="16"/>
        <v>0</v>
      </c>
      <c r="W35" s="188">
        <f t="shared" si="16"/>
        <v>0</v>
      </c>
      <c r="X35" s="58">
        <f t="shared" si="16"/>
        <v>2</v>
      </c>
      <c r="Y35" s="58">
        <f>SUM(Y33:Y34)</f>
        <v>55</v>
      </c>
      <c r="Z35" s="58">
        <f>SUM(Z33:Z34)</f>
        <v>35</v>
      </c>
      <c r="AA35" s="58">
        <f t="shared" ref="AA35:AE35" si="17">SUM(AA33:AA34)</f>
        <v>15</v>
      </c>
      <c r="AB35" s="58">
        <f t="shared" si="17"/>
        <v>5</v>
      </c>
      <c r="AC35" s="58">
        <f t="shared" si="17"/>
        <v>0</v>
      </c>
      <c r="AD35" s="58">
        <f t="shared" si="17"/>
        <v>75</v>
      </c>
      <c r="AE35" s="58">
        <f t="shared" si="17"/>
        <v>3</v>
      </c>
    </row>
    <row r="36" spans="1:31" ht="19.5" customHeight="1">
      <c r="A36" s="52" t="s">
        <v>29</v>
      </c>
      <c r="B36" s="53"/>
      <c r="C36" s="54"/>
      <c r="D36" s="53"/>
      <c r="E36" s="53"/>
      <c r="F36" s="53"/>
      <c r="G36" s="55"/>
      <c r="H36" s="55"/>
      <c r="I36" s="55"/>
      <c r="J36" s="55"/>
      <c r="K36" s="55"/>
      <c r="L36" s="55"/>
      <c r="M36" s="55"/>
      <c r="N36" s="55"/>
      <c r="O36" s="55"/>
      <c r="P36" s="55"/>
      <c r="Q36" s="55"/>
      <c r="R36" s="55"/>
      <c r="S36" s="55"/>
      <c r="T36" s="55"/>
      <c r="U36" s="55"/>
      <c r="V36" s="55"/>
      <c r="W36" s="55"/>
      <c r="X36" s="55"/>
      <c r="Y36" s="55"/>
      <c r="Z36" s="55"/>
      <c r="AA36" s="55"/>
      <c r="AB36" s="55"/>
      <c r="AC36" s="55"/>
      <c r="AD36" s="55"/>
      <c r="AE36" s="56"/>
    </row>
    <row r="37" spans="1:31" ht="33.75" customHeight="1">
      <c r="A37" s="59">
        <v>9.6999999999999993</v>
      </c>
      <c r="B37" s="180" t="s">
        <v>81</v>
      </c>
      <c r="C37" s="47" t="str">
        <f t="shared" ref="C37:C38" si="18">"0912-7LEK-C"&amp;A37&amp;"-"&amp;UPPER(LEFT(B37,1))</f>
        <v>0912-7LEK-C9.7-C</v>
      </c>
      <c r="D37" s="48"/>
      <c r="E37" s="49">
        <v>10</v>
      </c>
      <c r="F37" s="49"/>
      <c r="G37" s="140"/>
      <c r="H37" s="187"/>
      <c r="I37" s="140"/>
      <c r="J37" s="187"/>
      <c r="K37" s="140"/>
      <c r="L37" s="187"/>
      <c r="M37" s="140"/>
      <c r="N37" s="187"/>
      <c r="O37" s="140"/>
      <c r="P37" s="138"/>
      <c r="Q37" s="190"/>
      <c r="R37" s="138">
        <v>60</v>
      </c>
      <c r="S37" s="190"/>
      <c r="T37" s="138"/>
      <c r="U37" s="190"/>
      <c r="V37" s="138"/>
      <c r="W37" s="190"/>
      <c r="X37" s="138">
        <v>2</v>
      </c>
      <c r="Y37" s="50">
        <f>SUM(Z37:AC37)</f>
        <v>60</v>
      </c>
      <c r="Z37" s="50">
        <f>SUM(G37,P37)</f>
        <v>0</v>
      </c>
      <c r="AA37" s="50">
        <f>SUM(I37,R37)</f>
        <v>60</v>
      </c>
      <c r="AB37" s="50">
        <f>SUM(K37,T37)</f>
        <v>0</v>
      </c>
      <c r="AC37" s="50">
        <f>SUM(M37,V37)</f>
        <v>0</v>
      </c>
      <c r="AD37" s="50">
        <f>SUM(G37:N37,P37:W37)</f>
        <v>60</v>
      </c>
      <c r="AE37" s="50">
        <f>SUM(O37,X37)</f>
        <v>2</v>
      </c>
    </row>
    <row r="38" spans="1:31" ht="33.75" customHeight="1">
      <c r="A38" s="59">
        <v>9.8000000000000007</v>
      </c>
      <c r="B38" s="180" t="s">
        <v>70</v>
      </c>
      <c r="C38" s="47" t="str">
        <f t="shared" si="18"/>
        <v>0912-7LEK-C9.8-G</v>
      </c>
      <c r="D38" s="48"/>
      <c r="E38" s="49">
        <v>10</v>
      </c>
      <c r="F38" s="49"/>
      <c r="G38" s="140"/>
      <c r="H38" s="187"/>
      <c r="I38" s="140"/>
      <c r="J38" s="187"/>
      <c r="K38" s="140"/>
      <c r="L38" s="187"/>
      <c r="M38" s="140"/>
      <c r="N38" s="187"/>
      <c r="O38" s="140"/>
      <c r="P38" s="138"/>
      <c r="Q38" s="190"/>
      <c r="R38" s="138">
        <v>60</v>
      </c>
      <c r="S38" s="190"/>
      <c r="T38" s="138"/>
      <c r="U38" s="190"/>
      <c r="V38" s="138"/>
      <c r="W38" s="190"/>
      <c r="X38" s="138">
        <v>2</v>
      </c>
      <c r="Y38" s="50">
        <f>SUM(Z38:AC38)</f>
        <v>60</v>
      </c>
      <c r="Z38" s="50">
        <f>SUM(G38,P38)</f>
        <v>0</v>
      </c>
      <c r="AA38" s="50">
        <f>SUM(I38,R38)</f>
        <v>60</v>
      </c>
      <c r="AB38" s="50">
        <f>SUM(K38,T38)</f>
        <v>0</v>
      </c>
      <c r="AC38" s="50">
        <f>SUM(M38,V38)</f>
        <v>0</v>
      </c>
      <c r="AD38" s="50">
        <f>SUM(G38:N38,P38:W38)</f>
        <v>60</v>
      </c>
      <c r="AE38" s="50">
        <f>SUM(O38,X38)</f>
        <v>2</v>
      </c>
    </row>
    <row r="39" spans="1:31" ht="20.25" customHeight="1">
      <c r="A39" s="474" t="s">
        <v>9</v>
      </c>
      <c r="B39" s="475"/>
      <c r="C39" s="475"/>
      <c r="D39" s="475"/>
      <c r="E39" s="475"/>
      <c r="F39" s="476"/>
      <c r="G39" s="58">
        <f t="shared" ref="G39:X39" si="19">SUM(G37:G38)</f>
        <v>0</v>
      </c>
      <c r="H39" s="188">
        <f t="shared" si="19"/>
        <v>0</v>
      </c>
      <c r="I39" s="58">
        <f t="shared" si="19"/>
        <v>0</v>
      </c>
      <c r="J39" s="188">
        <f t="shared" si="19"/>
        <v>0</v>
      </c>
      <c r="K39" s="58">
        <f t="shared" si="19"/>
        <v>0</v>
      </c>
      <c r="L39" s="188">
        <f t="shared" si="19"/>
        <v>0</v>
      </c>
      <c r="M39" s="58">
        <f t="shared" si="19"/>
        <v>0</v>
      </c>
      <c r="N39" s="188">
        <f t="shared" si="19"/>
        <v>0</v>
      </c>
      <c r="O39" s="58">
        <f t="shared" si="19"/>
        <v>0</v>
      </c>
      <c r="P39" s="58">
        <f t="shared" si="19"/>
        <v>0</v>
      </c>
      <c r="Q39" s="188">
        <f t="shared" si="19"/>
        <v>0</v>
      </c>
      <c r="R39" s="58">
        <f t="shared" si="19"/>
        <v>120</v>
      </c>
      <c r="S39" s="188">
        <f t="shared" si="19"/>
        <v>0</v>
      </c>
      <c r="T39" s="58">
        <f t="shared" si="19"/>
        <v>0</v>
      </c>
      <c r="U39" s="188">
        <f t="shared" si="19"/>
        <v>0</v>
      </c>
      <c r="V39" s="58">
        <f t="shared" si="19"/>
        <v>0</v>
      </c>
      <c r="W39" s="188">
        <f t="shared" si="19"/>
        <v>0</v>
      </c>
      <c r="X39" s="58">
        <f t="shared" si="19"/>
        <v>4</v>
      </c>
      <c r="Y39" s="58">
        <f>SUM(Y37:Y38)</f>
        <v>120</v>
      </c>
      <c r="Z39" s="58">
        <f t="shared" ref="Z39:AE39" si="20">SUM(Z37:Z38)</f>
        <v>0</v>
      </c>
      <c r="AA39" s="58">
        <f t="shared" si="20"/>
        <v>120</v>
      </c>
      <c r="AB39" s="58">
        <f t="shared" si="20"/>
        <v>0</v>
      </c>
      <c r="AC39" s="58">
        <f t="shared" si="20"/>
        <v>0</v>
      </c>
      <c r="AD39" s="58">
        <f t="shared" si="20"/>
        <v>120</v>
      </c>
      <c r="AE39" s="58">
        <f t="shared" si="20"/>
        <v>4</v>
      </c>
    </row>
    <row r="40" spans="1:31" ht="20.25" customHeight="1">
      <c r="A40" s="52" t="s">
        <v>31</v>
      </c>
      <c r="B40" s="53"/>
      <c r="C40" s="54"/>
      <c r="D40" s="118"/>
      <c r="E40" s="118"/>
      <c r="F40" s="118"/>
      <c r="G40" s="55"/>
      <c r="H40" s="55"/>
      <c r="I40" s="55"/>
      <c r="J40" s="55"/>
      <c r="K40" s="55"/>
      <c r="L40" s="195"/>
      <c r="M40" s="55"/>
      <c r="N40" s="55"/>
      <c r="O40" s="55"/>
      <c r="P40" s="55"/>
      <c r="Q40" s="55"/>
      <c r="R40" s="55"/>
      <c r="S40" s="55"/>
      <c r="T40" s="55"/>
      <c r="U40" s="55"/>
      <c r="V40" s="55"/>
      <c r="W40" s="55"/>
      <c r="X40" s="55"/>
      <c r="Y40" s="55"/>
      <c r="Z40" s="55"/>
      <c r="AA40" s="55"/>
      <c r="AB40" s="55"/>
      <c r="AC40" s="55"/>
      <c r="AD40" s="55"/>
      <c r="AE40" s="56"/>
    </row>
    <row r="41" spans="1:31" ht="30" customHeight="1">
      <c r="A41" s="154">
        <v>10.6</v>
      </c>
      <c r="B41" s="60" t="s">
        <v>109</v>
      </c>
      <c r="C41" s="47" t="str">
        <f>"0912-7LEK-A"&amp;A41&amp;"-"&amp;UPPER(LEFT(B41,1))&amp;"F"</f>
        <v>0912-7LEK-A10.6-WF</v>
      </c>
      <c r="D41" s="127"/>
      <c r="E41" s="128"/>
      <c r="F41" s="275" t="s">
        <v>124</v>
      </c>
      <c r="G41" s="140"/>
      <c r="H41" s="187"/>
      <c r="I41" s="140">
        <v>15</v>
      </c>
      <c r="J41" s="187"/>
      <c r="K41" s="140"/>
      <c r="L41" s="187"/>
      <c r="M41" s="140"/>
      <c r="N41" s="187"/>
      <c r="O41" s="140">
        <v>0</v>
      </c>
      <c r="P41" s="138"/>
      <c r="Q41" s="190"/>
      <c r="R41" s="138">
        <v>15</v>
      </c>
      <c r="S41" s="190"/>
      <c r="T41" s="138"/>
      <c r="U41" s="190"/>
      <c r="V41" s="138"/>
      <c r="W41" s="190"/>
      <c r="X41" s="138">
        <v>0</v>
      </c>
      <c r="Y41" s="116">
        <f>SUM(Z41:AC41)</f>
        <v>30</v>
      </c>
      <c r="Z41" s="116">
        <f>SUM(G41,P41)</f>
        <v>0</v>
      </c>
      <c r="AA41" s="116">
        <f>SUM(I41,R41)</f>
        <v>30</v>
      </c>
      <c r="AB41" s="116">
        <f>SUM(K41,T41)</f>
        <v>0</v>
      </c>
      <c r="AC41" s="116">
        <f>SUM(M41,V41)</f>
        <v>0</v>
      </c>
      <c r="AD41" s="116">
        <f>SUM(G41:N41,P41:W41)</f>
        <v>30</v>
      </c>
      <c r="AE41" s="116">
        <f>SUM(O41,X41)</f>
        <v>0</v>
      </c>
    </row>
    <row r="42" spans="1:31" ht="20.25" customHeight="1">
      <c r="A42" s="474" t="s">
        <v>9</v>
      </c>
      <c r="B42" s="475"/>
      <c r="C42" s="475"/>
      <c r="D42" s="475"/>
      <c r="E42" s="475"/>
      <c r="F42" s="476"/>
      <c r="G42" s="58">
        <f t="shared" ref="G42:X42" si="21">SUM(G41:G41)</f>
        <v>0</v>
      </c>
      <c r="H42" s="188">
        <f t="shared" si="21"/>
        <v>0</v>
      </c>
      <c r="I42" s="58">
        <f t="shared" si="21"/>
        <v>15</v>
      </c>
      <c r="J42" s="188">
        <f t="shared" si="21"/>
        <v>0</v>
      </c>
      <c r="K42" s="58">
        <f t="shared" si="21"/>
        <v>0</v>
      </c>
      <c r="L42" s="188">
        <f t="shared" si="21"/>
        <v>0</v>
      </c>
      <c r="M42" s="58">
        <f t="shared" si="21"/>
        <v>0</v>
      </c>
      <c r="N42" s="188">
        <f t="shared" si="21"/>
        <v>0</v>
      </c>
      <c r="O42" s="58">
        <f t="shared" si="21"/>
        <v>0</v>
      </c>
      <c r="P42" s="58">
        <f t="shared" si="21"/>
        <v>0</v>
      </c>
      <c r="Q42" s="188">
        <f t="shared" si="21"/>
        <v>0</v>
      </c>
      <c r="R42" s="58">
        <f t="shared" si="21"/>
        <v>15</v>
      </c>
      <c r="S42" s="188">
        <f t="shared" si="21"/>
        <v>0</v>
      </c>
      <c r="T42" s="58">
        <f t="shared" si="21"/>
        <v>0</v>
      </c>
      <c r="U42" s="188">
        <f t="shared" si="21"/>
        <v>0</v>
      </c>
      <c r="V42" s="58">
        <f t="shared" si="21"/>
        <v>0</v>
      </c>
      <c r="W42" s="188">
        <f t="shared" si="21"/>
        <v>0</v>
      </c>
      <c r="X42" s="58">
        <f t="shared" si="21"/>
        <v>0</v>
      </c>
      <c r="Y42" s="58">
        <f t="shared" ref="Y42:AE42" si="22">SUM(Y41:Y41)</f>
        <v>30</v>
      </c>
      <c r="Z42" s="58">
        <f t="shared" si="22"/>
        <v>0</v>
      </c>
      <c r="AA42" s="58">
        <f t="shared" si="22"/>
        <v>30</v>
      </c>
      <c r="AB42" s="58">
        <f t="shared" si="22"/>
        <v>0</v>
      </c>
      <c r="AC42" s="58">
        <f t="shared" si="22"/>
        <v>0</v>
      </c>
      <c r="AD42" s="58">
        <f t="shared" si="22"/>
        <v>30</v>
      </c>
      <c r="AE42" s="58">
        <f t="shared" si="22"/>
        <v>0</v>
      </c>
    </row>
    <row r="43" spans="1:31" ht="22.5" customHeight="1">
      <c r="A43" s="52" t="s">
        <v>117</v>
      </c>
      <c r="B43" s="53"/>
      <c r="C43" s="54"/>
      <c r="D43" s="53"/>
      <c r="E43" s="53"/>
      <c r="F43" s="53"/>
      <c r="G43" s="55"/>
      <c r="H43" s="55"/>
      <c r="I43" s="55"/>
      <c r="J43" s="55"/>
      <c r="K43" s="55"/>
      <c r="L43" s="55"/>
      <c r="M43" s="55"/>
      <c r="N43" s="55"/>
      <c r="O43" s="55"/>
      <c r="P43" s="55"/>
      <c r="Q43" s="55"/>
      <c r="R43" s="55"/>
      <c r="S43" s="55"/>
      <c r="T43" s="55"/>
      <c r="U43" s="55"/>
      <c r="V43" s="55"/>
      <c r="W43" s="195"/>
      <c r="X43" s="55"/>
      <c r="Y43" s="55"/>
      <c r="Z43" s="55"/>
      <c r="AA43" s="55"/>
      <c r="AB43" s="55"/>
      <c r="AC43" s="55"/>
      <c r="AD43" s="55"/>
      <c r="AE43" s="56"/>
    </row>
    <row r="44" spans="1:31" ht="30" customHeight="1">
      <c r="A44" s="169" t="s">
        <v>191</v>
      </c>
      <c r="B44" s="559" t="s">
        <v>118</v>
      </c>
      <c r="C44" s="568"/>
      <c r="D44" s="560"/>
      <c r="E44" s="49">
        <v>9</v>
      </c>
      <c r="F44" s="49"/>
      <c r="G44" s="395">
        <v>10</v>
      </c>
      <c r="H44" s="413">
        <v>15</v>
      </c>
      <c r="I44" s="395">
        <v>15</v>
      </c>
      <c r="J44" s="413">
        <v>10</v>
      </c>
      <c r="K44" s="160"/>
      <c r="L44" s="187"/>
      <c r="M44" s="160"/>
      <c r="N44" s="187"/>
      <c r="O44" s="160">
        <v>2</v>
      </c>
      <c r="P44" s="163"/>
      <c r="Q44" s="190"/>
      <c r="R44" s="163"/>
      <c r="S44" s="190"/>
      <c r="T44" s="163"/>
      <c r="U44" s="190"/>
      <c r="V44" s="163"/>
      <c r="W44" s="190"/>
      <c r="X44" s="163"/>
      <c r="Y44" s="402">
        <f t="shared" ref="Y44:Y47" si="23">SUM(Z44:AC44)</f>
        <v>25</v>
      </c>
      <c r="Z44" s="402">
        <f t="shared" ref="Z44:Z46" si="24">SUM(G44,P44)</f>
        <v>10</v>
      </c>
      <c r="AA44" s="402">
        <f t="shared" ref="AA44:AA46" si="25">SUM(I44,R44)</f>
        <v>15</v>
      </c>
      <c r="AB44" s="402">
        <f t="shared" ref="AB44:AB46" si="26">SUM(K44,T44)</f>
        <v>0</v>
      </c>
      <c r="AC44" s="402">
        <f t="shared" ref="AC44:AC46" si="27">SUM(M44,V44)</f>
        <v>0</v>
      </c>
      <c r="AD44" s="402">
        <f t="shared" ref="AD44:AD47" si="28">SUM(G44:N44,P44:W44)</f>
        <v>50</v>
      </c>
      <c r="AE44" s="402">
        <f t="shared" ref="AE44:AE46" si="29">SUM(O44,X44)</f>
        <v>2</v>
      </c>
    </row>
    <row r="45" spans="1:31" ht="30" customHeight="1">
      <c r="A45" s="169" t="s">
        <v>192</v>
      </c>
      <c r="B45" s="559" t="s">
        <v>118</v>
      </c>
      <c r="C45" s="568"/>
      <c r="D45" s="560"/>
      <c r="E45" s="49">
        <v>9</v>
      </c>
      <c r="F45" s="49"/>
      <c r="G45" s="160"/>
      <c r="H45" s="187"/>
      <c r="I45" s="395">
        <v>15</v>
      </c>
      <c r="J45" s="413">
        <v>10</v>
      </c>
      <c r="K45" s="177"/>
      <c r="L45" s="177"/>
      <c r="M45" s="177"/>
      <c r="N45" s="177"/>
      <c r="O45" s="395">
        <v>1</v>
      </c>
      <c r="P45" s="163"/>
      <c r="Q45" s="190"/>
      <c r="R45" s="163"/>
      <c r="S45" s="190"/>
      <c r="T45" s="163"/>
      <c r="U45" s="190"/>
      <c r="V45" s="163"/>
      <c r="W45" s="190"/>
      <c r="X45" s="163"/>
      <c r="Y45" s="402">
        <f t="shared" si="23"/>
        <v>15</v>
      </c>
      <c r="Z45" s="402">
        <f t="shared" si="24"/>
        <v>0</v>
      </c>
      <c r="AA45" s="402">
        <f t="shared" si="25"/>
        <v>15</v>
      </c>
      <c r="AB45" s="402">
        <f t="shared" si="26"/>
        <v>0</v>
      </c>
      <c r="AC45" s="402">
        <f t="shared" si="27"/>
        <v>0</v>
      </c>
      <c r="AD45" s="402">
        <f t="shared" si="28"/>
        <v>25</v>
      </c>
      <c r="AE45" s="402">
        <f t="shared" si="29"/>
        <v>1</v>
      </c>
    </row>
    <row r="46" spans="1:31" ht="30" customHeight="1">
      <c r="A46" s="169" t="s">
        <v>193</v>
      </c>
      <c r="B46" s="559" t="s">
        <v>118</v>
      </c>
      <c r="C46" s="568"/>
      <c r="D46" s="560"/>
      <c r="E46" s="49">
        <v>10</v>
      </c>
      <c r="F46" s="49"/>
      <c r="G46" s="160"/>
      <c r="H46" s="187"/>
      <c r="I46" s="395"/>
      <c r="J46" s="413"/>
      <c r="K46" s="160"/>
      <c r="L46" s="187"/>
      <c r="M46" s="160"/>
      <c r="N46" s="187"/>
      <c r="O46" s="395"/>
      <c r="P46" s="163">
        <v>15</v>
      </c>
      <c r="Q46" s="190">
        <v>10</v>
      </c>
      <c r="R46" s="163"/>
      <c r="S46" s="190"/>
      <c r="T46" s="163"/>
      <c r="U46" s="190"/>
      <c r="V46" s="163"/>
      <c r="W46" s="190"/>
      <c r="X46" s="163">
        <v>1</v>
      </c>
      <c r="Y46" s="402">
        <f t="shared" si="23"/>
        <v>15</v>
      </c>
      <c r="Z46" s="402">
        <f t="shared" si="24"/>
        <v>15</v>
      </c>
      <c r="AA46" s="402">
        <f t="shared" si="25"/>
        <v>0</v>
      </c>
      <c r="AB46" s="402">
        <f t="shared" si="26"/>
        <v>0</v>
      </c>
      <c r="AC46" s="402">
        <f t="shared" si="27"/>
        <v>0</v>
      </c>
      <c r="AD46" s="402">
        <f t="shared" si="28"/>
        <v>25</v>
      </c>
      <c r="AE46" s="402">
        <f t="shared" si="29"/>
        <v>1</v>
      </c>
    </row>
    <row r="47" spans="1:31" ht="30" customHeight="1">
      <c r="A47" s="254" t="s">
        <v>194</v>
      </c>
      <c r="B47" s="559" t="s">
        <v>257</v>
      </c>
      <c r="C47" s="568"/>
      <c r="D47" s="560"/>
      <c r="E47" s="201" t="s">
        <v>247</v>
      </c>
      <c r="G47" s="160"/>
      <c r="H47" s="160"/>
      <c r="I47" s="395">
        <v>30</v>
      </c>
      <c r="J47" s="413">
        <v>20</v>
      </c>
      <c r="K47" s="160"/>
      <c r="L47" s="160"/>
      <c r="M47" s="160"/>
      <c r="N47" s="160"/>
      <c r="O47" s="395">
        <v>2</v>
      </c>
      <c r="P47" s="163"/>
      <c r="Q47" s="163"/>
      <c r="R47" s="163">
        <v>30</v>
      </c>
      <c r="S47" s="190">
        <v>20</v>
      </c>
      <c r="T47" s="163"/>
      <c r="U47" s="163"/>
      <c r="V47" s="163"/>
      <c r="W47" s="163"/>
      <c r="X47" s="163">
        <v>2</v>
      </c>
      <c r="Y47" s="402">
        <f t="shared" si="23"/>
        <v>60</v>
      </c>
      <c r="Z47" s="402">
        <f>SUM(G47,P47)</f>
        <v>0</v>
      </c>
      <c r="AA47" s="402">
        <f>SUM(I47,R47)</f>
        <v>60</v>
      </c>
      <c r="AB47" s="402">
        <f>SUM(K47,T47)</f>
        <v>0</v>
      </c>
      <c r="AC47" s="402">
        <f>SUM(M47,V47)</f>
        <v>0</v>
      </c>
      <c r="AD47" s="402">
        <f t="shared" si="28"/>
        <v>100</v>
      </c>
      <c r="AE47" s="402">
        <f>SUM(O47,X47)</f>
        <v>4</v>
      </c>
    </row>
    <row r="48" spans="1:31" ht="16.5" customHeight="1" thickBot="1">
      <c r="A48" s="514" t="s">
        <v>9</v>
      </c>
      <c r="B48" s="515"/>
      <c r="C48" s="515"/>
      <c r="D48" s="515"/>
      <c r="E48" s="515"/>
      <c r="F48" s="516"/>
      <c r="G48" s="58">
        <f t="shared" ref="G48:AE48" si="30">SUM(G44:G47)</f>
        <v>10</v>
      </c>
      <c r="H48" s="58">
        <f t="shared" si="30"/>
        <v>15</v>
      </c>
      <c r="I48" s="58">
        <f t="shared" si="30"/>
        <v>60</v>
      </c>
      <c r="J48" s="58">
        <f t="shared" si="30"/>
        <v>40</v>
      </c>
      <c r="K48" s="58">
        <f t="shared" si="30"/>
        <v>0</v>
      </c>
      <c r="L48" s="58">
        <f t="shared" si="30"/>
        <v>0</v>
      </c>
      <c r="M48" s="58">
        <f t="shared" si="30"/>
        <v>0</v>
      </c>
      <c r="N48" s="58">
        <f t="shared" si="30"/>
        <v>0</v>
      </c>
      <c r="O48" s="58">
        <f t="shared" si="30"/>
        <v>5</v>
      </c>
      <c r="P48" s="58">
        <f t="shared" si="30"/>
        <v>15</v>
      </c>
      <c r="Q48" s="58">
        <f t="shared" si="30"/>
        <v>10</v>
      </c>
      <c r="R48" s="58">
        <f t="shared" si="30"/>
        <v>30</v>
      </c>
      <c r="S48" s="58">
        <f t="shared" si="30"/>
        <v>20</v>
      </c>
      <c r="T48" s="58">
        <f t="shared" si="30"/>
        <v>0</v>
      </c>
      <c r="U48" s="58">
        <f t="shared" si="30"/>
        <v>0</v>
      </c>
      <c r="V48" s="58">
        <f t="shared" si="30"/>
        <v>0</v>
      </c>
      <c r="W48" s="58">
        <f t="shared" si="30"/>
        <v>0</v>
      </c>
      <c r="X48" s="58">
        <f t="shared" si="30"/>
        <v>3</v>
      </c>
      <c r="Y48" s="58">
        <f t="shared" si="30"/>
        <v>115</v>
      </c>
      <c r="Z48" s="58">
        <f t="shared" si="30"/>
        <v>25</v>
      </c>
      <c r="AA48" s="58">
        <f t="shared" si="30"/>
        <v>90</v>
      </c>
      <c r="AB48" s="58">
        <f t="shared" si="30"/>
        <v>0</v>
      </c>
      <c r="AC48" s="58">
        <f t="shared" si="30"/>
        <v>0</v>
      </c>
      <c r="AD48" s="58">
        <f t="shared" si="30"/>
        <v>200</v>
      </c>
      <c r="AE48" s="58">
        <f t="shared" si="30"/>
        <v>8</v>
      </c>
    </row>
    <row r="49" spans="1:31" ht="23.25" customHeight="1" thickBot="1">
      <c r="A49" s="468" t="s">
        <v>21</v>
      </c>
      <c r="B49" s="469"/>
      <c r="C49" s="469"/>
      <c r="D49" s="469"/>
      <c r="E49" s="469"/>
      <c r="F49" s="470"/>
      <c r="G49" s="66">
        <f>SUM(G12,G18,G31,G35,G39,G42,G48)</f>
        <v>165</v>
      </c>
      <c r="H49" s="193">
        <f>SUM(H12,H18,H31,H35,H39,H42,H48)</f>
        <v>125</v>
      </c>
      <c r="I49" s="66">
        <f>SUM(I12,I18,I31,I35,I39:I42,I48)</f>
        <v>225</v>
      </c>
      <c r="J49" s="193">
        <f t="shared" ref="J49:X49" si="31">SUM(J12,J18,J31,J35,J39,J42,J48)</f>
        <v>135</v>
      </c>
      <c r="K49" s="66">
        <f t="shared" si="31"/>
        <v>155</v>
      </c>
      <c r="L49" s="193">
        <f t="shared" si="31"/>
        <v>0</v>
      </c>
      <c r="M49" s="66">
        <f t="shared" si="31"/>
        <v>0</v>
      </c>
      <c r="N49" s="193">
        <f t="shared" si="31"/>
        <v>0</v>
      </c>
      <c r="O49" s="66">
        <f t="shared" si="31"/>
        <v>31</v>
      </c>
      <c r="P49" s="66">
        <f t="shared" si="31"/>
        <v>170</v>
      </c>
      <c r="Q49" s="193">
        <f t="shared" si="31"/>
        <v>90</v>
      </c>
      <c r="R49" s="66">
        <f t="shared" si="31"/>
        <v>300</v>
      </c>
      <c r="S49" s="193">
        <f t="shared" si="31"/>
        <v>85</v>
      </c>
      <c r="T49" s="66">
        <f t="shared" si="31"/>
        <v>165</v>
      </c>
      <c r="U49" s="193">
        <f t="shared" si="31"/>
        <v>0</v>
      </c>
      <c r="V49" s="66">
        <f t="shared" si="31"/>
        <v>0</v>
      </c>
      <c r="W49" s="193">
        <f t="shared" si="31"/>
        <v>0</v>
      </c>
      <c r="X49" s="66">
        <f t="shared" si="31"/>
        <v>31</v>
      </c>
      <c r="Y49" s="66">
        <f>Y12+Y18+Y31+Y35+Y39+Y42+Y48</f>
        <v>1165</v>
      </c>
      <c r="Z49" s="66">
        <f>SUM(Z12,Z18,Z31,Z35,Z39,Z42,Z48)</f>
        <v>335</v>
      </c>
      <c r="AA49" s="66">
        <f>SUM(AA12,AA18,AA31,AA35,AA39,AA42,AA48)</f>
        <v>510</v>
      </c>
      <c r="AB49" s="66">
        <f>SUM(AB12,AB18,AB31,AB35,AB39,AB42,AB48)</f>
        <v>320</v>
      </c>
      <c r="AC49" s="66">
        <f>SUM(AC12,AC18,AC31,AC35,AC39,AC42,AC48)</f>
        <v>0</v>
      </c>
      <c r="AD49" s="66">
        <f>AD12+AD18+AD31+AD35+AD39+AD42+AD48</f>
        <v>1600</v>
      </c>
      <c r="AE49" s="66">
        <f>AE12+AE18+AE31+AE35+AE39+AE42+AE48</f>
        <v>62</v>
      </c>
    </row>
    <row r="50" spans="1:31" ht="10.5" customHeight="1">
      <c r="A50" s="7"/>
      <c r="B50" s="19"/>
      <c r="C50" s="3"/>
    </row>
    <row r="51" spans="1:31" ht="18.75">
      <c r="A51" s="513" t="s">
        <v>343</v>
      </c>
      <c r="B51" s="513"/>
      <c r="C51" s="513"/>
      <c r="D51" s="513"/>
      <c r="E51" s="513"/>
      <c r="F51" s="513"/>
      <c r="G51" s="513"/>
      <c r="H51" s="513"/>
      <c r="I51" s="513"/>
      <c r="J51" s="513"/>
      <c r="K51" s="513"/>
      <c r="L51" s="513"/>
      <c r="M51" s="513"/>
      <c r="N51" s="513"/>
      <c r="O51" s="513"/>
      <c r="P51" s="513"/>
      <c r="Q51" s="513"/>
      <c r="R51" s="513"/>
      <c r="S51" s="513"/>
      <c r="T51" s="513"/>
      <c r="U51" s="513"/>
      <c r="V51" s="513"/>
      <c r="W51" s="513"/>
      <c r="X51" s="513"/>
      <c r="Y51" s="513"/>
      <c r="Z51" s="513"/>
      <c r="AA51" s="513"/>
      <c r="AB51" s="513"/>
      <c r="AC51" s="513"/>
      <c r="AD51" s="513"/>
      <c r="AE51" s="513"/>
    </row>
    <row r="52" spans="1:31" ht="29.25" customHeight="1">
      <c r="A52" s="169" t="s">
        <v>218</v>
      </c>
      <c r="B52" s="181" t="s">
        <v>164</v>
      </c>
      <c r="C52" s="47" t="str">
        <f>"0912-7LEK-F"&amp;A52&amp;"-"&amp;UPPER(LEFT(B52,1))</f>
        <v>0912-7LEK-F37-H</v>
      </c>
      <c r="D52" s="127"/>
      <c r="E52" s="129">
        <v>9</v>
      </c>
      <c r="F52" s="129"/>
      <c r="G52" s="160">
        <v>10</v>
      </c>
      <c r="H52" s="187">
        <v>15</v>
      </c>
      <c r="I52" s="160">
        <v>15</v>
      </c>
      <c r="J52" s="187">
        <v>10</v>
      </c>
      <c r="K52" s="160"/>
      <c r="L52" s="160"/>
      <c r="M52" s="160"/>
      <c r="N52" s="160"/>
      <c r="O52" s="160">
        <v>2</v>
      </c>
      <c r="P52" s="163"/>
      <c r="Q52" s="163"/>
      <c r="R52" s="163"/>
      <c r="S52" s="163"/>
      <c r="T52" s="163"/>
      <c r="U52" s="163"/>
      <c r="V52" s="163"/>
      <c r="W52" s="163"/>
      <c r="X52" s="163"/>
      <c r="Y52" s="50">
        <f>SUM(G52,I52,K52,M52,P52,R52,T52,V52)</f>
        <v>25</v>
      </c>
      <c r="Z52" s="50">
        <f>SUM(G52,P52)</f>
        <v>10</v>
      </c>
      <c r="AA52" s="50">
        <f>SUM(I52,R52)</f>
        <v>15</v>
      </c>
      <c r="AB52" s="50">
        <f>SUM(K52,T52)</f>
        <v>0</v>
      </c>
      <c r="AC52" s="50">
        <f>SUM(M52,V52)</f>
        <v>0</v>
      </c>
      <c r="AD52" s="50">
        <f>SUM(G52:M52,P52:W52,N52)</f>
        <v>50</v>
      </c>
      <c r="AE52" s="50">
        <f>SUM(O52,X52)</f>
        <v>2</v>
      </c>
    </row>
    <row r="53" spans="1:31" ht="29.25" customHeight="1">
      <c r="A53" s="169" t="s">
        <v>219</v>
      </c>
      <c r="B53" s="181" t="s">
        <v>165</v>
      </c>
      <c r="C53" s="47" t="str">
        <f t="shared" ref="C53:C73" si="32">"0912-7LEK-F"&amp;A53&amp;"-"&amp;UPPER(LEFT(B53,1))</f>
        <v>0912-7LEK-F38-G</v>
      </c>
      <c r="D53" s="127"/>
      <c r="E53" s="129">
        <v>9</v>
      </c>
      <c r="F53" s="129"/>
      <c r="G53" s="160">
        <v>10</v>
      </c>
      <c r="H53" s="187">
        <v>15</v>
      </c>
      <c r="I53" s="160">
        <v>15</v>
      </c>
      <c r="J53" s="187">
        <v>10</v>
      </c>
      <c r="K53" s="160"/>
      <c r="L53" s="160"/>
      <c r="M53" s="160"/>
      <c r="N53" s="160"/>
      <c r="O53" s="160">
        <v>2</v>
      </c>
      <c r="P53" s="163"/>
      <c r="Q53" s="163"/>
      <c r="R53" s="163"/>
      <c r="S53" s="163"/>
      <c r="T53" s="163"/>
      <c r="U53" s="163"/>
      <c r="V53" s="163"/>
      <c r="W53" s="163"/>
      <c r="X53" s="163"/>
      <c r="Y53" s="50">
        <f t="shared" ref="Y53:Y66" si="33">SUM(G53,I53,K53,M53,P53,R53,T53,V53)</f>
        <v>25</v>
      </c>
      <c r="Z53" s="50">
        <f t="shared" ref="Z53:Z66" si="34">SUM(G53,P53)</f>
        <v>10</v>
      </c>
      <c r="AA53" s="50">
        <f t="shared" ref="AA53:AA66" si="35">SUM(I53,R53)</f>
        <v>15</v>
      </c>
      <c r="AB53" s="50">
        <f t="shared" ref="AB53:AB66" si="36">SUM(K53,T53)</f>
        <v>0</v>
      </c>
      <c r="AC53" s="50">
        <f t="shared" ref="AC53:AC66" si="37">SUM(M53,V53)</f>
        <v>0</v>
      </c>
      <c r="AD53" s="50">
        <f t="shared" ref="AD53:AD66" si="38">SUM(G53:M53,P53:W53,N53)</f>
        <v>50</v>
      </c>
      <c r="AE53" s="50">
        <f t="shared" ref="AE53:AE66" si="39">SUM(O53,X53)</f>
        <v>2</v>
      </c>
    </row>
    <row r="54" spans="1:31" ht="29.25" customHeight="1">
      <c r="A54" s="169" t="s">
        <v>220</v>
      </c>
      <c r="B54" s="181" t="s">
        <v>175</v>
      </c>
      <c r="C54" s="47" t="str">
        <f t="shared" si="32"/>
        <v>0912-7LEK-F39-A</v>
      </c>
      <c r="D54" s="127"/>
      <c r="E54" s="129">
        <v>9</v>
      </c>
      <c r="F54" s="129"/>
      <c r="G54" s="160">
        <v>10</v>
      </c>
      <c r="H54" s="187">
        <v>15</v>
      </c>
      <c r="I54" s="160">
        <v>15</v>
      </c>
      <c r="J54" s="187">
        <v>10</v>
      </c>
      <c r="K54" s="160"/>
      <c r="L54" s="160"/>
      <c r="M54" s="160"/>
      <c r="N54" s="160"/>
      <c r="O54" s="160">
        <v>2</v>
      </c>
      <c r="P54" s="163"/>
      <c r="Q54" s="163"/>
      <c r="R54" s="163"/>
      <c r="S54" s="163"/>
      <c r="T54" s="163"/>
      <c r="U54" s="163"/>
      <c r="V54" s="163"/>
      <c r="W54" s="163"/>
      <c r="X54" s="163"/>
      <c r="Y54" s="50">
        <f t="shared" si="33"/>
        <v>25</v>
      </c>
      <c r="Z54" s="50">
        <f t="shared" si="34"/>
        <v>10</v>
      </c>
      <c r="AA54" s="50">
        <f t="shared" si="35"/>
        <v>15</v>
      </c>
      <c r="AB54" s="50">
        <f t="shared" si="36"/>
        <v>0</v>
      </c>
      <c r="AC54" s="50">
        <f t="shared" si="37"/>
        <v>0</v>
      </c>
      <c r="AD54" s="50">
        <f t="shared" si="38"/>
        <v>50</v>
      </c>
      <c r="AE54" s="50">
        <f t="shared" si="39"/>
        <v>2</v>
      </c>
    </row>
    <row r="55" spans="1:31" ht="29.25" customHeight="1">
      <c r="A55" s="169" t="s">
        <v>221</v>
      </c>
      <c r="B55" s="181" t="s">
        <v>181</v>
      </c>
      <c r="C55" s="47" t="str">
        <f t="shared" si="32"/>
        <v>0912-7LEK-F40-K</v>
      </c>
      <c r="D55" s="127"/>
      <c r="E55" s="129">
        <v>9</v>
      </c>
      <c r="F55" s="129"/>
      <c r="G55" s="160">
        <v>10</v>
      </c>
      <c r="H55" s="187">
        <v>15</v>
      </c>
      <c r="I55" s="160">
        <v>15</v>
      </c>
      <c r="J55" s="187">
        <v>10</v>
      </c>
      <c r="K55" s="160"/>
      <c r="L55" s="160"/>
      <c r="M55" s="160"/>
      <c r="N55" s="160"/>
      <c r="O55" s="160">
        <v>2</v>
      </c>
      <c r="P55" s="163"/>
      <c r="Q55" s="163"/>
      <c r="R55" s="163"/>
      <c r="S55" s="163"/>
      <c r="T55" s="163"/>
      <c r="U55" s="163"/>
      <c r="V55" s="163"/>
      <c r="W55" s="163"/>
      <c r="X55" s="163"/>
      <c r="Y55" s="50">
        <f t="shared" si="33"/>
        <v>25</v>
      </c>
      <c r="Z55" s="50">
        <f t="shared" si="34"/>
        <v>10</v>
      </c>
      <c r="AA55" s="50">
        <f t="shared" si="35"/>
        <v>15</v>
      </c>
      <c r="AB55" s="50">
        <f t="shared" si="36"/>
        <v>0</v>
      </c>
      <c r="AC55" s="50">
        <f t="shared" si="37"/>
        <v>0</v>
      </c>
      <c r="AD55" s="50">
        <f t="shared" si="38"/>
        <v>50</v>
      </c>
      <c r="AE55" s="50">
        <f t="shared" si="39"/>
        <v>2</v>
      </c>
    </row>
    <row r="56" spans="1:31" ht="29.25" customHeight="1">
      <c r="A56" s="169" t="s">
        <v>222</v>
      </c>
      <c r="B56" s="181" t="s">
        <v>178</v>
      </c>
      <c r="C56" s="47" t="str">
        <f t="shared" si="32"/>
        <v>0912-7LEK-F41-Ż</v>
      </c>
      <c r="D56" s="127"/>
      <c r="E56" s="129">
        <v>9</v>
      </c>
      <c r="F56" s="129"/>
      <c r="G56" s="160">
        <v>10</v>
      </c>
      <c r="H56" s="187">
        <v>15</v>
      </c>
      <c r="I56" s="160">
        <v>15</v>
      </c>
      <c r="J56" s="187">
        <v>10</v>
      </c>
      <c r="K56" s="160"/>
      <c r="L56" s="160"/>
      <c r="M56" s="160"/>
      <c r="N56" s="160"/>
      <c r="O56" s="160">
        <v>2</v>
      </c>
      <c r="P56" s="163"/>
      <c r="Q56" s="163"/>
      <c r="R56" s="163"/>
      <c r="S56" s="163"/>
      <c r="T56" s="163"/>
      <c r="U56" s="163"/>
      <c r="V56" s="163"/>
      <c r="W56" s="163"/>
      <c r="X56" s="163"/>
      <c r="Y56" s="50">
        <f t="shared" si="33"/>
        <v>25</v>
      </c>
      <c r="Z56" s="50">
        <f t="shared" si="34"/>
        <v>10</v>
      </c>
      <c r="AA56" s="50">
        <f t="shared" si="35"/>
        <v>15</v>
      </c>
      <c r="AB56" s="50">
        <f t="shared" si="36"/>
        <v>0</v>
      </c>
      <c r="AC56" s="50">
        <f t="shared" si="37"/>
        <v>0</v>
      </c>
      <c r="AD56" s="50">
        <f t="shared" si="38"/>
        <v>50</v>
      </c>
      <c r="AE56" s="50">
        <f t="shared" si="39"/>
        <v>2</v>
      </c>
    </row>
    <row r="57" spans="1:31" ht="29.25" customHeight="1">
      <c r="A57" s="169" t="s">
        <v>223</v>
      </c>
      <c r="B57" s="181" t="s">
        <v>176</v>
      </c>
      <c r="C57" s="47" t="str">
        <f t="shared" si="32"/>
        <v>0912-7LEK-F42-A</v>
      </c>
      <c r="D57" s="127"/>
      <c r="E57" s="129">
        <v>9</v>
      </c>
      <c r="F57" s="129"/>
      <c r="G57" s="160">
        <v>10</v>
      </c>
      <c r="H57" s="187">
        <v>15</v>
      </c>
      <c r="I57" s="160">
        <v>15</v>
      </c>
      <c r="J57" s="187">
        <v>10</v>
      </c>
      <c r="K57" s="160"/>
      <c r="L57" s="160"/>
      <c r="M57" s="160"/>
      <c r="N57" s="160"/>
      <c r="O57" s="160">
        <v>2</v>
      </c>
      <c r="P57" s="163"/>
      <c r="Q57" s="163"/>
      <c r="R57" s="163"/>
      <c r="S57" s="163"/>
      <c r="T57" s="163"/>
      <c r="U57" s="163"/>
      <c r="V57" s="163"/>
      <c r="W57" s="163"/>
      <c r="X57" s="163"/>
      <c r="Y57" s="50">
        <f t="shared" si="33"/>
        <v>25</v>
      </c>
      <c r="Z57" s="50">
        <f t="shared" si="34"/>
        <v>10</v>
      </c>
      <c r="AA57" s="50">
        <f t="shared" si="35"/>
        <v>15</v>
      </c>
      <c r="AB57" s="50">
        <f t="shared" si="36"/>
        <v>0</v>
      </c>
      <c r="AC57" s="50">
        <f t="shared" si="37"/>
        <v>0</v>
      </c>
      <c r="AD57" s="50">
        <f t="shared" si="38"/>
        <v>50</v>
      </c>
      <c r="AE57" s="50">
        <f t="shared" si="39"/>
        <v>2</v>
      </c>
    </row>
    <row r="58" spans="1:31" ht="29.25" customHeight="1">
      <c r="A58" s="169" t="s">
        <v>224</v>
      </c>
      <c r="B58" s="181" t="s">
        <v>336</v>
      </c>
      <c r="C58" s="47" t="str">
        <f t="shared" si="32"/>
        <v>0912-7LEK-F43-L</v>
      </c>
      <c r="D58" s="127"/>
      <c r="E58" s="129">
        <v>9</v>
      </c>
      <c r="F58" s="129"/>
      <c r="G58" s="160">
        <v>10</v>
      </c>
      <c r="H58" s="187">
        <v>15</v>
      </c>
      <c r="I58" s="160">
        <v>15</v>
      </c>
      <c r="J58" s="187">
        <v>10</v>
      </c>
      <c r="K58" s="160"/>
      <c r="L58" s="160"/>
      <c r="M58" s="160"/>
      <c r="N58" s="160"/>
      <c r="O58" s="160">
        <v>2</v>
      </c>
      <c r="P58" s="163"/>
      <c r="Q58" s="163"/>
      <c r="R58" s="163"/>
      <c r="S58" s="163"/>
      <c r="T58" s="163"/>
      <c r="U58" s="163"/>
      <c r="V58" s="163"/>
      <c r="W58" s="163"/>
      <c r="X58" s="163"/>
      <c r="Y58" s="50">
        <f t="shared" si="33"/>
        <v>25</v>
      </c>
      <c r="Z58" s="50">
        <f t="shared" si="34"/>
        <v>10</v>
      </c>
      <c r="AA58" s="50">
        <f t="shared" si="35"/>
        <v>15</v>
      </c>
      <c r="AB58" s="50">
        <f t="shared" si="36"/>
        <v>0</v>
      </c>
      <c r="AC58" s="50">
        <f t="shared" si="37"/>
        <v>0</v>
      </c>
      <c r="AD58" s="50">
        <f t="shared" si="38"/>
        <v>50</v>
      </c>
      <c r="AE58" s="50">
        <f t="shared" si="39"/>
        <v>2</v>
      </c>
    </row>
    <row r="59" spans="1:31" ht="29.25" customHeight="1">
      <c r="A59" s="169" t="s">
        <v>225</v>
      </c>
      <c r="B59" s="181" t="s">
        <v>177</v>
      </c>
      <c r="C59" s="47" t="str">
        <f t="shared" si="32"/>
        <v>0912-7LEK-F44-E</v>
      </c>
      <c r="D59" s="127"/>
      <c r="E59" s="129">
        <v>9</v>
      </c>
      <c r="F59" s="129"/>
      <c r="G59" s="160">
        <v>10</v>
      </c>
      <c r="H59" s="187">
        <v>15</v>
      </c>
      <c r="I59" s="160">
        <v>15</v>
      </c>
      <c r="J59" s="187">
        <v>10</v>
      </c>
      <c r="K59" s="160"/>
      <c r="L59" s="160"/>
      <c r="M59" s="160"/>
      <c r="N59" s="160"/>
      <c r="O59" s="160">
        <v>2</v>
      </c>
      <c r="P59" s="163"/>
      <c r="Q59" s="163"/>
      <c r="R59" s="163"/>
      <c r="S59" s="163"/>
      <c r="T59" s="163"/>
      <c r="U59" s="163"/>
      <c r="V59" s="163"/>
      <c r="W59" s="163"/>
      <c r="X59" s="163"/>
      <c r="Y59" s="50">
        <f t="shared" si="33"/>
        <v>25</v>
      </c>
      <c r="Z59" s="50">
        <f t="shared" si="34"/>
        <v>10</v>
      </c>
      <c r="AA59" s="50">
        <f t="shared" si="35"/>
        <v>15</v>
      </c>
      <c r="AB59" s="50">
        <f t="shared" si="36"/>
        <v>0</v>
      </c>
      <c r="AC59" s="50">
        <f t="shared" si="37"/>
        <v>0</v>
      </c>
      <c r="AD59" s="50">
        <f t="shared" si="38"/>
        <v>50</v>
      </c>
      <c r="AE59" s="50">
        <f t="shared" si="39"/>
        <v>2</v>
      </c>
    </row>
    <row r="60" spans="1:31" ht="29.25" customHeight="1">
      <c r="A60" s="169" t="s">
        <v>226</v>
      </c>
      <c r="B60" s="181" t="s">
        <v>166</v>
      </c>
      <c r="C60" s="47" t="str">
        <f t="shared" si="32"/>
        <v>0912-7LEK-F45-T</v>
      </c>
      <c r="D60" s="127"/>
      <c r="E60" s="129">
        <v>9</v>
      </c>
      <c r="F60" s="129"/>
      <c r="G60" s="160">
        <v>10</v>
      </c>
      <c r="H60" s="187">
        <v>15</v>
      </c>
      <c r="I60" s="160">
        <v>15</v>
      </c>
      <c r="J60" s="187">
        <v>10</v>
      </c>
      <c r="K60" s="160"/>
      <c r="L60" s="160"/>
      <c r="M60" s="160"/>
      <c r="N60" s="160"/>
      <c r="O60" s="160">
        <v>2</v>
      </c>
      <c r="P60" s="163"/>
      <c r="Q60" s="163"/>
      <c r="R60" s="163"/>
      <c r="S60" s="163"/>
      <c r="T60" s="163"/>
      <c r="U60" s="163"/>
      <c r="V60" s="163"/>
      <c r="W60" s="163"/>
      <c r="X60" s="163"/>
      <c r="Y60" s="50">
        <f t="shared" si="33"/>
        <v>25</v>
      </c>
      <c r="Z60" s="50">
        <f t="shared" si="34"/>
        <v>10</v>
      </c>
      <c r="AA60" s="50">
        <f t="shared" si="35"/>
        <v>15</v>
      </c>
      <c r="AB60" s="50">
        <f t="shared" si="36"/>
        <v>0</v>
      </c>
      <c r="AC60" s="50">
        <f t="shared" si="37"/>
        <v>0</v>
      </c>
      <c r="AD60" s="50">
        <f t="shared" si="38"/>
        <v>50</v>
      </c>
      <c r="AE60" s="50">
        <f t="shared" si="39"/>
        <v>2</v>
      </c>
    </row>
    <row r="61" spans="1:31" ht="29.25" customHeight="1">
      <c r="A61" s="169" t="s">
        <v>227</v>
      </c>
      <c r="B61" s="181" t="s">
        <v>167</v>
      </c>
      <c r="C61" s="47" t="str">
        <f t="shared" si="32"/>
        <v>0912-7LEK-F46-D</v>
      </c>
      <c r="D61" s="127"/>
      <c r="E61" s="129">
        <v>9</v>
      </c>
      <c r="F61" s="129"/>
      <c r="G61" s="160">
        <v>10</v>
      </c>
      <c r="H61" s="187">
        <v>15</v>
      </c>
      <c r="I61" s="160">
        <v>15</v>
      </c>
      <c r="J61" s="187">
        <v>10</v>
      </c>
      <c r="K61" s="160"/>
      <c r="L61" s="160"/>
      <c r="M61" s="160"/>
      <c r="N61" s="160"/>
      <c r="O61" s="160">
        <v>2</v>
      </c>
      <c r="P61" s="163"/>
      <c r="Q61" s="163"/>
      <c r="R61" s="163"/>
      <c r="S61" s="163"/>
      <c r="T61" s="163"/>
      <c r="U61" s="163"/>
      <c r="V61" s="163"/>
      <c r="W61" s="163"/>
      <c r="X61" s="163"/>
      <c r="Y61" s="50">
        <f t="shared" si="33"/>
        <v>25</v>
      </c>
      <c r="Z61" s="50">
        <f t="shared" si="34"/>
        <v>10</v>
      </c>
      <c r="AA61" s="50">
        <f t="shared" si="35"/>
        <v>15</v>
      </c>
      <c r="AB61" s="50">
        <f t="shared" si="36"/>
        <v>0</v>
      </c>
      <c r="AC61" s="50">
        <f t="shared" si="37"/>
        <v>0</v>
      </c>
      <c r="AD61" s="50">
        <f t="shared" si="38"/>
        <v>50</v>
      </c>
      <c r="AE61" s="50">
        <f t="shared" si="39"/>
        <v>2</v>
      </c>
    </row>
    <row r="62" spans="1:31" ht="29.25" customHeight="1">
      <c r="A62" s="169" t="s">
        <v>228</v>
      </c>
      <c r="B62" s="181" t="s">
        <v>168</v>
      </c>
      <c r="C62" s="47" t="str">
        <f t="shared" si="32"/>
        <v>0912-7LEK-F47-R</v>
      </c>
      <c r="D62" s="127"/>
      <c r="E62" s="129">
        <v>9</v>
      </c>
      <c r="F62" s="129"/>
      <c r="G62" s="160">
        <v>10</v>
      </c>
      <c r="H62" s="187">
        <v>15</v>
      </c>
      <c r="I62" s="160">
        <v>15</v>
      </c>
      <c r="J62" s="187">
        <v>10</v>
      </c>
      <c r="K62" s="160"/>
      <c r="L62" s="160"/>
      <c r="M62" s="160"/>
      <c r="N62" s="160"/>
      <c r="O62" s="160">
        <v>2</v>
      </c>
      <c r="P62" s="163"/>
      <c r="Q62" s="163"/>
      <c r="R62" s="163"/>
      <c r="S62" s="163"/>
      <c r="T62" s="163"/>
      <c r="U62" s="163"/>
      <c r="V62" s="163"/>
      <c r="W62" s="163"/>
      <c r="X62" s="163"/>
      <c r="Y62" s="50">
        <f t="shared" si="33"/>
        <v>25</v>
      </c>
      <c r="Z62" s="50">
        <f t="shared" si="34"/>
        <v>10</v>
      </c>
      <c r="AA62" s="50">
        <f t="shared" si="35"/>
        <v>15</v>
      </c>
      <c r="AB62" s="50">
        <f t="shared" si="36"/>
        <v>0</v>
      </c>
      <c r="AC62" s="50">
        <f t="shared" si="37"/>
        <v>0</v>
      </c>
      <c r="AD62" s="50">
        <f t="shared" si="38"/>
        <v>50</v>
      </c>
      <c r="AE62" s="50">
        <f t="shared" si="39"/>
        <v>2</v>
      </c>
    </row>
    <row r="63" spans="1:31" ht="32.25" customHeight="1">
      <c r="A63" s="169" t="s">
        <v>229</v>
      </c>
      <c r="B63" s="181" t="s">
        <v>169</v>
      </c>
      <c r="C63" s="47" t="str">
        <f t="shared" si="32"/>
        <v>0912-7LEK-F48-Z</v>
      </c>
      <c r="D63" s="127"/>
      <c r="E63" s="129">
        <v>9</v>
      </c>
      <c r="F63" s="129"/>
      <c r="G63" s="160">
        <v>10</v>
      </c>
      <c r="H63" s="187">
        <v>15</v>
      </c>
      <c r="I63" s="160">
        <v>15</v>
      </c>
      <c r="J63" s="187">
        <v>10</v>
      </c>
      <c r="K63" s="160"/>
      <c r="L63" s="160"/>
      <c r="M63" s="160"/>
      <c r="N63" s="160"/>
      <c r="O63" s="160">
        <v>2</v>
      </c>
      <c r="P63" s="163"/>
      <c r="Q63" s="163"/>
      <c r="R63" s="163"/>
      <c r="S63" s="163"/>
      <c r="T63" s="163"/>
      <c r="U63" s="163"/>
      <c r="V63" s="163"/>
      <c r="W63" s="163"/>
      <c r="X63" s="163"/>
      <c r="Y63" s="50">
        <f t="shared" si="33"/>
        <v>25</v>
      </c>
      <c r="Z63" s="50">
        <f t="shared" si="34"/>
        <v>10</v>
      </c>
      <c r="AA63" s="50">
        <f t="shared" si="35"/>
        <v>15</v>
      </c>
      <c r="AB63" s="50">
        <f t="shared" si="36"/>
        <v>0</v>
      </c>
      <c r="AC63" s="50">
        <f t="shared" si="37"/>
        <v>0</v>
      </c>
      <c r="AD63" s="50">
        <f t="shared" si="38"/>
        <v>50</v>
      </c>
      <c r="AE63" s="50">
        <f t="shared" si="39"/>
        <v>2</v>
      </c>
    </row>
    <row r="64" spans="1:31" ht="29.25" customHeight="1">
      <c r="A64" s="169" t="s">
        <v>230</v>
      </c>
      <c r="B64" s="181" t="s">
        <v>171</v>
      </c>
      <c r="C64" s="47" t="str">
        <f t="shared" si="32"/>
        <v>0912-7LEK-F49-P</v>
      </c>
      <c r="D64" s="127"/>
      <c r="E64" s="129">
        <v>9</v>
      </c>
      <c r="F64" s="129"/>
      <c r="G64" s="160"/>
      <c r="H64" s="187"/>
      <c r="I64" s="395">
        <v>15</v>
      </c>
      <c r="J64" s="187">
        <v>10</v>
      </c>
      <c r="K64" s="160"/>
      <c r="L64" s="160"/>
      <c r="M64" s="160"/>
      <c r="N64" s="160"/>
      <c r="O64" s="395">
        <v>1</v>
      </c>
      <c r="P64" s="163"/>
      <c r="Q64" s="163"/>
      <c r="R64" s="163"/>
      <c r="S64" s="163"/>
      <c r="T64" s="163"/>
      <c r="U64" s="163"/>
      <c r="V64" s="163"/>
      <c r="W64" s="163"/>
      <c r="X64" s="163"/>
      <c r="Y64" s="50">
        <f t="shared" si="33"/>
        <v>15</v>
      </c>
      <c r="Z64" s="50">
        <f t="shared" si="34"/>
        <v>0</v>
      </c>
      <c r="AA64" s="50">
        <f t="shared" si="35"/>
        <v>15</v>
      </c>
      <c r="AB64" s="50">
        <f t="shared" si="36"/>
        <v>0</v>
      </c>
      <c r="AC64" s="50">
        <f t="shared" si="37"/>
        <v>0</v>
      </c>
      <c r="AD64" s="50">
        <f t="shared" si="38"/>
        <v>25</v>
      </c>
      <c r="AE64" s="50">
        <f t="shared" si="39"/>
        <v>1</v>
      </c>
    </row>
    <row r="65" spans="1:31" ht="29.25" customHeight="1">
      <c r="A65" s="169" t="s">
        <v>231</v>
      </c>
      <c r="B65" s="181" t="s">
        <v>170</v>
      </c>
      <c r="C65" s="47" t="str">
        <f t="shared" si="32"/>
        <v>0912-7LEK-F50-M</v>
      </c>
      <c r="D65" s="127"/>
      <c r="E65" s="129">
        <v>9</v>
      </c>
      <c r="F65" s="129"/>
      <c r="G65" s="160"/>
      <c r="H65" s="187"/>
      <c r="I65" s="395">
        <v>15</v>
      </c>
      <c r="J65" s="187">
        <v>10</v>
      </c>
      <c r="K65" s="160"/>
      <c r="L65" s="160"/>
      <c r="M65" s="160"/>
      <c r="N65" s="160"/>
      <c r="O65" s="395">
        <v>1</v>
      </c>
      <c r="P65" s="163"/>
      <c r="Q65" s="163"/>
      <c r="R65" s="163"/>
      <c r="S65" s="163"/>
      <c r="T65" s="163"/>
      <c r="U65" s="163"/>
      <c r="V65" s="163"/>
      <c r="W65" s="163"/>
      <c r="X65" s="163"/>
      <c r="Y65" s="50">
        <f t="shared" si="33"/>
        <v>15</v>
      </c>
      <c r="Z65" s="50">
        <f t="shared" si="34"/>
        <v>0</v>
      </c>
      <c r="AA65" s="50">
        <f t="shared" si="35"/>
        <v>15</v>
      </c>
      <c r="AB65" s="50">
        <f t="shared" si="36"/>
        <v>0</v>
      </c>
      <c r="AC65" s="50">
        <f t="shared" si="37"/>
        <v>0</v>
      </c>
      <c r="AD65" s="50">
        <f t="shared" si="38"/>
        <v>25</v>
      </c>
      <c r="AE65" s="50">
        <f t="shared" si="39"/>
        <v>1</v>
      </c>
    </row>
    <row r="66" spans="1:31" ht="29.25" customHeight="1">
      <c r="A66" s="169" t="s">
        <v>232</v>
      </c>
      <c r="B66" s="434" t="s">
        <v>172</v>
      </c>
      <c r="C66" s="47" t="str">
        <f t="shared" si="32"/>
        <v>0912-7LEK-F51-C</v>
      </c>
      <c r="D66" s="127"/>
      <c r="E66" s="129">
        <v>9</v>
      </c>
      <c r="F66" s="129"/>
      <c r="G66" s="160"/>
      <c r="H66" s="187"/>
      <c r="I66" s="395">
        <v>15</v>
      </c>
      <c r="J66" s="187">
        <v>10</v>
      </c>
      <c r="K66" s="177"/>
      <c r="L66" s="177"/>
      <c r="M66" s="177"/>
      <c r="N66" s="177"/>
      <c r="O66" s="395">
        <v>1</v>
      </c>
      <c r="P66" s="163"/>
      <c r="Q66" s="190"/>
      <c r="R66" s="163"/>
      <c r="S66" s="163"/>
      <c r="T66" s="163"/>
      <c r="U66" s="163"/>
      <c r="V66" s="163"/>
      <c r="W66" s="163"/>
      <c r="X66" s="163"/>
      <c r="Y66" s="50">
        <f t="shared" si="33"/>
        <v>15</v>
      </c>
      <c r="Z66" s="50">
        <f t="shared" si="34"/>
        <v>0</v>
      </c>
      <c r="AA66" s="50">
        <f t="shared" si="35"/>
        <v>15</v>
      </c>
      <c r="AB66" s="50">
        <f t="shared" si="36"/>
        <v>0</v>
      </c>
      <c r="AC66" s="50">
        <f t="shared" si="37"/>
        <v>0</v>
      </c>
      <c r="AD66" s="50">
        <f t="shared" si="38"/>
        <v>25</v>
      </c>
      <c r="AE66" s="50">
        <f t="shared" si="39"/>
        <v>1</v>
      </c>
    </row>
    <row r="67" spans="1:31" ht="29.25" customHeight="1">
      <c r="A67" s="169" t="s">
        <v>233</v>
      </c>
      <c r="B67" s="434" t="s">
        <v>184</v>
      </c>
      <c r="C67" s="47" t="str">
        <f t="shared" si="32"/>
        <v>0912-7LEK-F52-P</v>
      </c>
      <c r="D67" s="249"/>
      <c r="E67" s="250">
        <v>9</v>
      </c>
      <c r="F67" s="250"/>
      <c r="G67" s="160"/>
      <c r="H67" s="187"/>
      <c r="I67" s="395">
        <v>15</v>
      </c>
      <c r="J67" s="187">
        <v>10</v>
      </c>
      <c r="K67" s="177"/>
      <c r="L67" s="177"/>
      <c r="M67" s="177"/>
      <c r="N67" s="177"/>
      <c r="O67" s="395">
        <v>1</v>
      </c>
      <c r="P67" s="163"/>
      <c r="Q67" s="190"/>
      <c r="R67" s="163"/>
      <c r="S67" s="163"/>
      <c r="T67" s="163"/>
      <c r="U67" s="163"/>
      <c r="V67" s="163"/>
      <c r="W67" s="163"/>
      <c r="X67" s="163"/>
      <c r="Y67" s="50">
        <f t="shared" ref="Y67" si="40">SUM(G67,I67,K67,M67,P67,R67,T67,V67)</f>
        <v>15</v>
      </c>
      <c r="Z67" s="50">
        <f t="shared" ref="Z67:Z69" si="41">SUM(G67,P67)</f>
        <v>0</v>
      </c>
      <c r="AA67" s="50">
        <f t="shared" ref="AA67" si="42">SUM(I67,R67)</f>
        <v>15</v>
      </c>
      <c r="AB67" s="50">
        <f t="shared" ref="AB67:AB69" si="43">SUM(K67,T67)</f>
        <v>0</v>
      </c>
      <c r="AC67" s="50">
        <f t="shared" ref="AC67:AC69" si="44">SUM(M67,V67)</f>
        <v>0</v>
      </c>
      <c r="AD67" s="50">
        <f t="shared" ref="AD67" si="45">SUM(G67:M67,P67:W67,N67)</f>
        <v>25</v>
      </c>
      <c r="AE67" s="50">
        <f t="shared" ref="AE67" si="46">SUM(O67,X67)</f>
        <v>1</v>
      </c>
    </row>
    <row r="68" spans="1:31" ht="29.25" customHeight="1">
      <c r="A68" s="169" t="s">
        <v>234</v>
      </c>
      <c r="B68" s="434" t="s">
        <v>173</v>
      </c>
      <c r="C68" s="47" t="str">
        <f t="shared" si="32"/>
        <v>0912-7LEK-F53-R</v>
      </c>
      <c r="D68" s="249"/>
      <c r="E68" s="250">
        <v>9</v>
      </c>
      <c r="F68" s="250"/>
      <c r="G68" s="160"/>
      <c r="H68" s="187"/>
      <c r="I68" s="395">
        <v>15</v>
      </c>
      <c r="J68" s="187">
        <v>10</v>
      </c>
      <c r="K68" s="177"/>
      <c r="L68" s="177"/>
      <c r="M68" s="177"/>
      <c r="N68" s="177"/>
      <c r="O68" s="395">
        <v>1</v>
      </c>
      <c r="P68" s="163"/>
      <c r="Q68" s="190"/>
      <c r="R68" s="163"/>
      <c r="S68" s="163"/>
      <c r="T68" s="163"/>
      <c r="U68" s="163"/>
      <c r="V68" s="163"/>
      <c r="W68" s="163"/>
      <c r="X68" s="163"/>
      <c r="Y68" s="50">
        <f>SUM(G68,I68,K68,M68,P68,R68,T68,V68)</f>
        <v>15</v>
      </c>
      <c r="Z68" s="50">
        <f>SUM(G68,P68)</f>
        <v>0</v>
      </c>
      <c r="AA68" s="50">
        <f>SUM(I68,R68)</f>
        <v>15</v>
      </c>
      <c r="AB68" s="50">
        <f>SUM(K68,T68)</f>
        <v>0</v>
      </c>
      <c r="AC68" s="50">
        <f t="shared" si="44"/>
        <v>0</v>
      </c>
      <c r="AD68" s="50">
        <f>SUM(G68:M68,P68:W68,N68)</f>
        <v>25</v>
      </c>
      <c r="AE68" s="50">
        <f>SUM(O68,X68)</f>
        <v>1</v>
      </c>
    </row>
    <row r="69" spans="1:31" ht="48" customHeight="1">
      <c r="A69" s="169" t="s">
        <v>235</v>
      </c>
      <c r="B69" s="462" t="s">
        <v>347</v>
      </c>
      <c r="C69" s="47" t="str">
        <f t="shared" si="32"/>
        <v>0912-7LEK-F54-Z</v>
      </c>
      <c r="D69" s="388"/>
      <c r="E69" s="389">
        <v>9</v>
      </c>
      <c r="F69" s="389"/>
      <c r="G69" s="160"/>
      <c r="H69" s="187"/>
      <c r="I69" s="395">
        <v>15</v>
      </c>
      <c r="J69" s="187">
        <v>10</v>
      </c>
      <c r="K69" s="177"/>
      <c r="L69" s="177"/>
      <c r="M69" s="177"/>
      <c r="N69" s="177"/>
      <c r="O69" s="395">
        <v>1</v>
      </c>
      <c r="P69" s="163"/>
      <c r="Q69" s="190"/>
      <c r="R69" s="163"/>
      <c r="S69" s="163"/>
      <c r="T69" s="163"/>
      <c r="U69" s="163"/>
      <c r="V69" s="163"/>
      <c r="W69" s="163"/>
      <c r="X69" s="163"/>
      <c r="Y69" s="50">
        <f>SUM(G69,I69,K69,M69,P69,R69,T69,V69)</f>
        <v>15</v>
      </c>
      <c r="Z69" s="50">
        <f t="shared" si="41"/>
        <v>0</v>
      </c>
      <c r="AA69" s="50">
        <f>SUM(I69,R69)</f>
        <v>15</v>
      </c>
      <c r="AB69" s="50">
        <f t="shared" si="43"/>
        <v>0</v>
      </c>
      <c r="AC69" s="50">
        <f t="shared" si="44"/>
        <v>0</v>
      </c>
      <c r="AD69" s="50">
        <f>SUM(G69:M69,P69:W69,N69)</f>
        <v>25</v>
      </c>
      <c r="AE69" s="50">
        <f>SUM(O69,X69)</f>
        <v>1</v>
      </c>
    </row>
    <row r="70" spans="1:31" ht="36" customHeight="1">
      <c r="A70" s="169" t="s">
        <v>258</v>
      </c>
      <c r="B70" s="181" t="s">
        <v>259</v>
      </c>
      <c r="C70" s="47" t="str">
        <f t="shared" si="32"/>
        <v>0912-7LEK-F55-Z</v>
      </c>
      <c r="D70" s="127"/>
      <c r="E70" s="171" t="s">
        <v>253</v>
      </c>
      <c r="F70" s="129"/>
      <c r="G70" s="160"/>
      <c r="H70" s="187"/>
      <c r="I70" s="395">
        <v>30</v>
      </c>
      <c r="J70" s="187">
        <v>20</v>
      </c>
      <c r="K70" s="177"/>
      <c r="L70" s="177"/>
      <c r="M70" s="177"/>
      <c r="N70" s="177"/>
      <c r="O70" s="395">
        <v>2</v>
      </c>
      <c r="P70" s="163"/>
      <c r="Q70" s="190"/>
      <c r="R70" s="163">
        <v>30</v>
      </c>
      <c r="S70" s="190">
        <v>20</v>
      </c>
      <c r="T70" s="163"/>
      <c r="U70" s="163"/>
      <c r="V70" s="163"/>
      <c r="W70" s="163"/>
      <c r="X70" s="163">
        <v>2</v>
      </c>
      <c r="Y70" s="50">
        <f>SUM(G70,I70,K70,M70,P70,R70,T70,V70)</f>
        <v>60</v>
      </c>
      <c r="Z70" s="50">
        <f>SUM(G70,P70)</f>
        <v>0</v>
      </c>
      <c r="AA70" s="50">
        <f>SUM(I70,R70)</f>
        <v>60</v>
      </c>
      <c r="AB70" s="50">
        <f>SUM(K70,T70)</f>
        <v>0</v>
      </c>
      <c r="AC70" s="50">
        <f>SUM(M70,V70)</f>
        <v>0</v>
      </c>
      <c r="AD70" s="50">
        <f>SUM(G70:M70,P70:W70,N70)</f>
        <v>100</v>
      </c>
      <c r="AE70" s="50">
        <f>SUM(O70,X70)</f>
        <v>4</v>
      </c>
    </row>
    <row r="71" spans="1:31" ht="36" customHeight="1">
      <c r="A71" s="169" t="s">
        <v>283</v>
      </c>
      <c r="B71" s="181" t="s">
        <v>280</v>
      </c>
      <c r="C71" s="47" t="str">
        <f t="shared" si="32"/>
        <v>0912-7LEK-F56-B</v>
      </c>
      <c r="D71" s="390"/>
      <c r="E71" s="171">
        <v>10</v>
      </c>
      <c r="F71" s="391"/>
      <c r="G71" s="160"/>
      <c r="H71" s="187"/>
      <c r="I71" s="177"/>
      <c r="J71" s="177"/>
      <c r="K71" s="177"/>
      <c r="L71" s="177"/>
      <c r="M71" s="177"/>
      <c r="N71" s="177"/>
      <c r="O71" s="177"/>
      <c r="P71" s="163">
        <v>15</v>
      </c>
      <c r="Q71" s="190">
        <v>10</v>
      </c>
      <c r="R71" s="163"/>
      <c r="S71" s="190"/>
      <c r="T71" s="163"/>
      <c r="U71" s="163"/>
      <c r="V71" s="163"/>
      <c r="W71" s="163"/>
      <c r="X71" s="163">
        <v>1</v>
      </c>
      <c r="Y71" s="50">
        <v>15</v>
      </c>
      <c r="Z71" s="50">
        <v>15</v>
      </c>
      <c r="AA71" s="50">
        <v>0</v>
      </c>
      <c r="AB71" s="50">
        <v>0</v>
      </c>
      <c r="AC71" s="50">
        <v>0</v>
      </c>
      <c r="AD71" s="50">
        <v>25</v>
      </c>
      <c r="AE71" s="50">
        <v>1</v>
      </c>
    </row>
    <row r="72" spans="1:31" ht="36" customHeight="1">
      <c r="A72" s="169" t="s">
        <v>284</v>
      </c>
      <c r="B72" s="181" t="s">
        <v>174</v>
      </c>
      <c r="C72" s="47" t="str">
        <f t="shared" si="32"/>
        <v>0912-7LEK-F57-F</v>
      </c>
      <c r="D72" s="390"/>
      <c r="E72" s="171">
        <v>10</v>
      </c>
      <c r="F72" s="391"/>
      <c r="G72" s="160"/>
      <c r="H72" s="187"/>
      <c r="I72" s="177"/>
      <c r="J72" s="177"/>
      <c r="K72" s="177"/>
      <c r="L72" s="177"/>
      <c r="M72" s="177"/>
      <c r="N72" s="177"/>
      <c r="O72" s="177"/>
      <c r="P72" s="163">
        <v>15</v>
      </c>
      <c r="Q72" s="190">
        <v>10</v>
      </c>
      <c r="R72" s="163"/>
      <c r="S72" s="190"/>
      <c r="T72" s="163"/>
      <c r="U72" s="163"/>
      <c r="V72" s="163"/>
      <c r="W72" s="163"/>
      <c r="X72" s="163">
        <v>1</v>
      </c>
      <c r="Y72" s="50">
        <v>15</v>
      </c>
      <c r="Z72" s="50">
        <v>15</v>
      </c>
      <c r="AA72" s="50">
        <v>0</v>
      </c>
      <c r="AB72" s="50">
        <v>0</v>
      </c>
      <c r="AC72" s="50">
        <v>0</v>
      </c>
      <c r="AD72" s="50">
        <v>25</v>
      </c>
      <c r="AE72" s="50">
        <v>1</v>
      </c>
    </row>
    <row r="73" spans="1:31" ht="36" customHeight="1">
      <c r="A73" s="169" t="s">
        <v>285</v>
      </c>
      <c r="B73" s="181" t="s">
        <v>318</v>
      </c>
      <c r="C73" s="47" t="str">
        <f t="shared" si="32"/>
        <v>0912-7LEK-F58-P</v>
      </c>
      <c r="D73" s="377"/>
      <c r="E73" s="171" t="s">
        <v>133</v>
      </c>
      <c r="F73" s="378"/>
      <c r="G73" s="160"/>
      <c r="H73" s="187"/>
      <c r="I73" s="160"/>
      <c r="J73" s="187"/>
      <c r="K73" s="160"/>
      <c r="L73" s="160"/>
      <c r="M73" s="160"/>
      <c r="N73" s="160"/>
      <c r="O73" s="160"/>
      <c r="P73" s="163">
        <v>15</v>
      </c>
      <c r="Q73" s="190">
        <v>10</v>
      </c>
      <c r="R73" s="163"/>
      <c r="S73" s="190"/>
      <c r="T73" s="163"/>
      <c r="U73" s="163"/>
      <c r="V73" s="163"/>
      <c r="W73" s="163"/>
      <c r="X73" s="163">
        <v>1</v>
      </c>
      <c r="Y73" s="50">
        <v>15</v>
      </c>
      <c r="Z73" s="50">
        <v>10</v>
      </c>
      <c r="AA73" s="50">
        <v>0</v>
      </c>
      <c r="AB73" s="50">
        <v>0</v>
      </c>
      <c r="AC73" s="50">
        <v>0</v>
      </c>
      <c r="AD73" s="50">
        <v>25</v>
      </c>
      <c r="AE73" s="50">
        <v>1</v>
      </c>
    </row>
    <row r="74" spans="1:31" ht="102" customHeight="1">
      <c r="A74" s="328"/>
      <c r="B74" s="463" t="s">
        <v>346</v>
      </c>
      <c r="C74" s="330"/>
      <c r="D74" s="331"/>
      <c r="E74" s="464"/>
      <c r="F74" s="332"/>
      <c r="G74" s="333"/>
      <c r="H74" s="334"/>
      <c r="I74" s="333"/>
      <c r="J74" s="334"/>
      <c r="K74" s="333"/>
      <c r="L74" s="333"/>
      <c r="M74" s="333"/>
      <c r="N74" s="333"/>
      <c r="O74" s="333"/>
      <c r="P74" s="465"/>
      <c r="Q74" s="466"/>
      <c r="R74" s="465"/>
      <c r="S74" s="466"/>
      <c r="T74" s="465"/>
      <c r="U74" s="465"/>
      <c r="V74" s="465"/>
      <c r="W74" s="465"/>
      <c r="X74" s="465"/>
      <c r="Y74" s="164"/>
      <c r="Z74" s="164"/>
      <c r="AA74" s="164"/>
      <c r="AB74" s="164"/>
      <c r="AC74" s="164"/>
      <c r="AD74" s="164"/>
      <c r="AE74" s="164"/>
    </row>
    <row r="75" spans="1:31" ht="29.25" customHeight="1"/>
    <row r="76" spans="1:31">
      <c r="Q76" s="196"/>
    </row>
    <row r="78" spans="1:31" ht="18.75">
      <c r="N78" s="20" t="s">
        <v>127</v>
      </c>
    </row>
    <row r="87" ht="15" customHeight="1"/>
  </sheetData>
  <mergeCells count="46">
    <mergeCell ref="A12:F12"/>
    <mergeCell ref="Z6:Z9"/>
    <mergeCell ref="AA6:AA9"/>
    <mergeCell ref="AB6:AB9"/>
    <mergeCell ref="AC6:AC9"/>
    <mergeCell ref="M8:N8"/>
    <mergeCell ref="O8:O9"/>
    <mergeCell ref="P8:Q8"/>
    <mergeCell ref="A2:B2"/>
    <mergeCell ref="H2:P2"/>
    <mergeCell ref="A3:B3"/>
    <mergeCell ref="V8:W8"/>
    <mergeCell ref="G6:X6"/>
    <mergeCell ref="G7:O7"/>
    <mergeCell ref="P7:X7"/>
    <mergeCell ref="G8:H8"/>
    <mergeCell ref="I8:J8"/>
    <mergeCell ref="K8:L8"/>
    <mergeCell ref="A1:AE1"/>
    <mergeCell ref="G5:AE5"/>
    <mergeCell ref="A5:F5"/>
    <mergeCell ref="A6:A9"/>
    <mergeCell ref="B6:B9"/>
    <mergeCell ref="C6:C9"/>
    <mergeCell ref="D6:F7"/>
    <mergeCell ref="Y6:Y9"/>
    <mergeCell ref="D8:D9"/>
    <mergeCell ref="E8:E9"/>
    <mergeCell ref="F8:F9"/>
    <mergeCell ref="X8:X9"/>
    <mergeCell ref="R8:S8"/>
    <mergeCell ref="T8:U8"/>
    <mergeCell ref="AD6:AD9"/>
    <mergeCell ref="AE6:AE9"/>
    <mergeCell ref="B47:D47"/>
    <mergeCell ref="A31:F31"/>
    <mergeCell ref="A18:F18"/>
    <mergeCell ref="A51:AE51"/>
    <mergeCell ref="B46:D46"/>
    <mergeCell ref="B45:D45"/>
    <mergeCell ref="B44:D44"/>
    <mergeCell ref="A49:F49"/>
    <mergeCell ref="A48:F48"/>
    <mergeCell ref="A35:F35"/>
    <mergeCell ref="A39:F39"/>
    <mergeCell ref="A42:F42"/>
  </mergeCells>
  <pageMargins left="0.23622047244094491" right="0.23622047244094491" top="0" bottom="0" header="0.31496062992125984" footer="0.31496062992125984"/>
  <pageSetup paperSize="9" scale="46" fitToHeight="0" orientation="landscape" r:id="rId1"/>
  <rowBreaks count="2" manualBreakCount="2">
    <brk id="42" max="30" man="1"/>
    <brk id="80" max="16383" man="1"/>
  </rowBreaks>
  <colBreaks count="1" manualBreakCount="1">
    <brk id="30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32"/>
  <sheetViews>
    <sheetView topLeftCell="A7" zoomScale="90" zoomScaleNormal="90" workbookViewId="0">
      <selection activeCell="J29" sqref="J29"/>
    </sheetView>
  </sheetViews>
  <sheetFormatPr defaultRowHeight="15"/>
  <cols>
    <col min="1" max="1" width="5.5703125" customWidth="1"/>
    <col min="2" max="2" width="45.7109375" customWidth="1"/>
    <col min="3" max="3" width="19.140625" customWidth="1"/>
    <col min="4" max="4" width="4.140625" customWidth="1"/>
    <col min="5" max="5" width="5.85546875" customWidth="1"/>
    <col min="6" max="6" width="5" customWidth="1"/>
    <col min="7" max="15" width="5.28515625" customWidth="1"/>
    <col min="16" max="24" width="5.42578125" customWidth="1"/>
    <col min="25" max="29" width="7.42578125" customWidth="1"/>
    <col min="30" max="30" width="9.140625" customWidth="1"/>
    <col min="31" max="31" width="7.42578125" customWidth="1"/>
  </cols>
  <sheetData>
    <row r="1" spans="1:31" ht="26.25">
      <c r="A1" s="498" t="s">
        <v>265</v>
      </c>
      <c r="B1" s="499"/>
      <c r="C1" s="499"/>
      <c r="D1" s="499"/>
      <c r="E1" s="499"/>
      <c r="F1" s="499"/>
      <c r="G1" s="499"/>
      <c r="H1" s="499"/>
      <c r="I1" s="499"/>
      <c r="J1" s="499"/>
      <c r="K1" s="499"/>
      <c r="L1" s="499"/>
      <c r="M1" s="499"/>
      <c r="N1" s="499"/>
      <c r="O1" s="499"/>
      <c r="P1" s="499"/>
      <c r="Q1" s="499"/>
      <c r="R1" s="499"/>
      <c r="S1" s="499"/>
      <c r="T1" s="499"/>
      <c r="U1" s="499"/>
      <c r="V1" s="499"/>
      <c r="W1" s="499"/>
      <c r="X1" s="499"/>
      <c r="Y1" s="499"/>
      <c r="Z1" s="499"/>
      <c r="AA1" s="499"/>
      <c r="AB1" s="499"/>
      <c r="AC1" s="499"/>
      <c r="AD1" s="499"/>
      <c r="AE1" s="499"/>
    </row>
    <row r="2" spans="1:31" ht="58.5" customHeight="1">
      <c r="A2" s="509" t="s">
        <v>112</v>
      </c>
      <c r="B2" s="509"/>
      <c r="C2" s="144" t="s">
        <v>113</v>
      </c>
      <c r="D2" s="41"/>
      <c r="E2" s="132"/>
      <c r="F2" s="132"/>
      <c r="G2" s="132"/>
      <c r="H2" s="511" t="s">
        <v>195</v>
      </c>
      <c r="I2" s="511"/>
      <c r="J2" s="511"/>
      <c r="K2" s="511"/>
      <c r="L2" s="511"/>
      <c r="M2" s="511"/>
      <c r="N2" s="511"/>
      <c r="O2" s="511"/>
      <c r="P2" s="511"/>
      <c r="Q2" s="131"/>
      <c r="R2" s="131"/>
      <c r="S2" s="131"/>
      <c r="T2" s="131"/>
      <c r="U2" s="131"/>
      <c r="V2" s="131"/>
      <c r="W2" s="131"/>
      <c r="X2" s="131"/>
      <c r="Y2" s="131"/>
      <c r="Z2" s="131"/>
      <c r="AA2" s="131"/>
      <c r="AB2" s="131"/>
      <c r="AC2" s="131"/>
      <c r="AD2" s="131"/>
      <c r="AE2" s="131"/>
    </row>
    <row r="3" spans="1:31" ht="24.75" customHeight="1">
      <c r="A3" s="510" t="s">
        <v>111</v>
      </c>
      <c r="B3" s="510"/>
      <c r="C3" s="145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  <c r="Q3" s="131"/>
      <c r="R3" s="131"/>
      <c r="S3" s="131"/>
      <c r="T3" s="131"/>
      <c r="U3" s="131"/>
      <c r="V3" s="131"/>
      <c r="W3" s="131"/>
      <c r="X3" s="131"/>
      <c r="Y3" s="131"/>
      <c r="Z3" s="131"/>
      <c r="AA3" s="131"/>
      <c r="AB3" s="131"/>
      <c r="AC3" s="131"/>
      <c r="AD3" s="131"/>
      <c r="AE3" s="131"/>
    </row>
    <row r="4" spans="1:31" ht="15" customHeight="1">
      <c r="A4" s="175"/>
      <c r="B4" s="41"/>
      <c r="C4" s="146"/>
      <c r="D4" s="133"/>
      <c r="E4" s="134"/>
      <c r="F4" s="133"/>
      <c r="G4" s="134"/>
      <c r="H4" s="133"/>
      <c r="I4" s="134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  <c r="V4" s="106"/>
      <c r="W4" s="106"/>
      <c r="X4" s="106"/>
      <c r="Y4" s="106"/>
      <c r="Z4" s="106"/>
      <c r="AA4" s="106"/>
      <c r="AB4" s="106"/>
      <c r="AC4" s="106"/>
      <c r="AD4" s="106"/>
      <c r="AE4" s="106"/>
    </row>
    <row r="5" spans="1:31">
      <c r="A5" s="531"/>
      <c r="B5" s="532"/>
      <c r="C5" s="532"/>
      <c r="D5" s="532"/>
      <c r="E5" s="532"/>
      <c r="F5" s="533"/>
      <c r="G5" s="534" t="s">
        <v>103</v>
      </c>
      <c r="H5" s="534"/>
      <c r="I5" s="534"/>
      <c r="J5" s="534"/>
      <c r="K5" s="534"/>
      <c r="L5" s="534"/>
      <c r="M5" s="534"/>
      <c r="N5" s="534"/>
      <c r="O5" s="534"/>
      <c r="P5" s="534"/>
      <c r="Q5" s="534"/>
      <c r="R5" s="534"/>
      <c r="S5" s="534"/>
      <c r="T5" s="534"/>
      <c r="U5" s="534"/>
      <c r="V5" s="534"/>
      <c r="W5" s="534"/>
      <c r="X5" s="534"/>
      <c r="Y5" s="534"/>
      <c r="Z5" s="534"/>
      <c r="AA5" s="534"/>
      <c r="AB5" s="534"/>
      <c r="AC5" s="534"/>
      <c r="AD5" s="534"/>
      <c r="AE5" s="535"/>
    </row>
    <row r="6" spans="1:31" ht="18" customHeight="1">
      <c r="A6" s="536" t="s">
        <v>0</v>
      </c>
      <c r="B6" s="481" t="s">
        <v>4</v>
      </c>
      <c r="C6" s="481" t="s">
        <v>1</v>
      </c>
      <c r="D6" s="538" t="s">
        <v>8</v>
      </c>
      <c r="E6" s="538"/>
      <c r="F6" s="538"/>
      <c r="G6" s="111"/>
      <c r="H6" s="111"/>
      <c r="I6" s="111"/>
      <c r="J6" s="111"/>
      <c r="K6" s="111"/>
      <c r="L6" s="111"/>
      <c r="M6" s="111"/>
      <c r="N6" s="111"/>
      <c r="O6" s="111" t="s">
        <v>196</v>
      </c>
      <c r="P6" s="111"/>
      <c r="Q6" s="111"/>
      <c r="R6" s="111"/>
      <c r="S6" s="111"/>
      <c r="T6" s="111"/>
      <c r="U6" s="111"/>
      <c r="V6" s="111"/>
      <c r="W6" s="111"/>
      <c r="X6" s="111"/>
      <c r="Y6" s="487" t="s">
        <v>5</v>
      </c>
      <c r="Z6" s="487" t="s">
        <v>89</v>
      </c>
      <c r="AA6" s="487" t="s">
        <v>88</v>
      </c>
      <c r="AB6" s="487" t="s">
        <v>94</v>
      </c>
      <c r="AC6" s="487" t="s">
        <v>90</v>
      </c>
      <c r="AD6" s="487" t="s">
        <v>14</v>
      </c>
      <c r="AE6" s="487" t="s">
        <v>6</v>
      </c>
    </row>
    <row r="7" spans="1:31">
      <c r="A7" s="536"/>
      <c r="B7" s="481"/>
      <c r="C7" s="481"/>
      <c r="D7" s="538"/>
      <c r="E7" s="538"/>
      <c r="F7" s="538"/>
      <c r="G7" s="495" t="s">
        <v>248</v>
      </c>
      <c r="H7" s="496"/>
      <c r="I7" s="496"/>
      <c r="J7" s="496"/>
      <c r="K7" s="496"/>
      <c r="L7" s="496"/>
      <c r="M7" s="496"/>
      <c r="N7" s="496"/>
      <c r="O7" s="497"/>
      <c r="P7" s="490" t="s">
        <v>249</v>
      </c>
      <c r="Q7" s="506"/>
      <c r="R7" s="506"/>
      <c r="S7" s="506"/>
      <c r="T7" s="506"/>
      <c r="U7" s="506"/>
      <c r="V7" s="506"/>
      <c r="W7" s="506"/>
      <c r="X7" s="491"/>
      <c r="Y7" s="488"/>
      <c r="Z7" s="488"/>
      <c r="AA7" s="488"/>
      <c r="AB7" s="488"/>
      <c r="AC7" s="488"/>
      <c r="AD7" s="488"/>
      <c r="AE7" s="488"/>
    </row>
    <row r="8" spans="1:31" ht="22.5" customHeight="1">
      <c r="A8" s="537"/>
      <c r="B8" s="479"/>
      <c r="C8" s="479"/>
      <c r="D8" s="479" t="s">
        <v>2</v>
      </c>
      <c r="E8" s="479" t="s">
        <v>13</v>
      </c>
      <c r="F8" s="479" t="s">
        <v>12</v>
      </c>
      <c r="G8" s="495" t="s">
        <v>89</v>
      </c>
      <c r="H8" s="497"/>
      <c r="I8" s="495" t="s">
        <v>88</v>
      </c>
      <c r="J8" s="497"/>
      <c r="K8" s="495" t="s">
        <v>94</v>
      </c>
      <c r="L8" s="497"/>
      <c r="M8" s="495" t="s">
        <v>90</v>
      </c>
      <c r="N8" s="497"/>
      <c r="O8" s="507" t="s">
        <v>7</v>
      </c>
      <c r="P8" s="490" t="s">
        <v>89</v>
      </c>
      <c r="Q8" s="491"/>
      <c r="R8" s="490" t="s">
        <v>88</v>
      </c>
      <c r="S8" s="491"/>
      <c r="T8" s="490" t="s">
        <v>94</v>
      </c>
      <c r="U8" s="491"/>
      <c r="V8" s="490" t="s">
        <v>90</v>
      </c>
      <c r="W8" s="491"/>
      <c r="X8" s="492" t="s">
        <v>7</v>
      </c>
      <c r="Y8" s="488"/>
      <c r="Z8" s="488"/>
      <c r="AA8" s="488"/>
      <c r="AB8" s="488"/>
      <c r="AC8" s="488"/>
      <c r="AD8" s="488"/>
      <c r="AE8" s="488"/>
    </row>
    <row r="9" spans="1:31" ht="43.5" customHeight="1">
      <c r="A9" s="537"/>
      <c r="B9" s="479"/>
      <c r="C9" s="479"/>
      <c r="D9" s="561"/>
      <c r="E9" s="561"/>
      <c r="F9" s="561"/>
      <c r="G9" s="176" t="s">
        <v>15</v>
      </c>
      <c r="H9" s="176" t="s">
        <v>16</v>
      </c>
      <c r="I9" s="176" t="s">
        <v>15</v>
      </c>
      <c r="J9" s="176" t="s">
        <v>16</v>
      </c>
      <c r="K9" s="176" t="s">
        <v>15</v>
      </c>
      <c r="L9" s="176" t="s">
        <v>16</v>
      </c>
      <c r="M9" s="176" t="s">
        <v>15</v>
      </c>
      <c r="N9" s="176" t="s">
        <v>16</v>
      </c>
      <c r="O9" s="567"/>
      <c r="P9" s="178" t="s">
        <v>15</v>
      </c>
      <c r="Q9" s="178" t="s">
        <v>16</v>
      </c>
      <c r="R9" s="178" t="s">
        <v>15</v>
      </c>
      <c r="S9" s="178" t="s">
        <v>16</v>
      </c>
      <c r="T9" s="178" t="s">
        <v>15</v>
      </c>
      <c r="U9" s="178" t="s">
        <v>16</v>
      </c>
      <c r="V9" s="178" t="s">
        <v>15</v>
      </c>
      <c r="W9" s="178" t="s">
        <v>16</v>
      </c>
      <c r="X9" s="562"/>
      <c r="Y9" s="488"/>
      <c r="Z9" s="488"/>
      <c r="AA9" s="488"/>
      <c r="AB9" s="488"/>
      <c r="AC9" s="488"/>
      <c r="AD9" s="488"/>
      <c r="AE9" s="488"/>
    </row>
    <row r="10" spans="1:31" s="210" customFormat="1" ht="24.75" customHeight="1">
      <c r="A10" s="213" t="s">
        <v>197</v>
      </c>
      <c r="B10" s="211"/>
      <c r="C10" s="211"/>
      <c r="D10" s="211"/>
      <c r="E10" s="211"/>
      <c r="F10" s="211"/>
      <c r="G10" s="211"/>
      <c r="H10" s="211"/>
      <c r="I10" s="211"/>
      <c r="J10" s="211"/>
      <c r="K10" s="211"/>
      <c r="L10" s="211"/>
      <c r="M10" s="211"/>
      <c r="N10" s="211"/>
      <c r="O10" s="211"/>
      <c r="P10" s="211"/>
      <c r="Q10" s="211"/>
      <c r="R10" s="211"/>
      <c r="S10" s="211"/>
      <c r="T10" s="211"/>
      <c r="U10" s="211"/>
      <c r="V10" s="211"/>
      <c r="W10" s="211"/>
      <c r="X10" s="211"/>
      <c r="Y10" s="211"/>
      <c r="Z10" s="211"/>
      <c r="AA10" s="211"/>
      <c r="AB10" s="211"/>
      <c r="AC10" s="211"/>
      <c r="AD10" s="211"/>
      <c r="AE10" s="212"/>
    </row>
    <row r="11" spans="1:31" ht="29.25" customHeight="1">
      <c r="A11" s="202">
        <v>8.1</v>
      </c>
      <c r="B11" s="282" t="s">
        <v>80</v>
      </c>
      <c r="C11" s="203" t="str">
        <f>RAZEM!C75</f>
        <v>0912-7LEK-C8.1-C</v>
      </c>
      <c r="D11" s="204">
        <v>11</v>
      </c>
      <c r="E11" s="205">
        <v>11</v>
      </c>
      <c r="F11" s="205"/>
      <c r="G11" s="206"/>
      <c r="H11" s="206"/>
      <c r="I11" s="206"/>
      <c r="J11" s="206"/>
      <c r="K11" s="206">
        <v>240</v>
      </c>
      <c r="L11" s="214">
        <v>160</v>
      </c>
      <c r="M11" s="206"/>
      <c r="N11" s="206"/>
      <c r="O11" s="206">
        <v>16</v>
      </c>
      <c r="P11" s="207"/>
      <c r="Q11" s="208"/>
      <c r="R11" s="207"/>
      <c r="S11" s="208"/>
      <c r="T11" s="207"/>
      <c r="U11" s="207"/>
      <c r="V11" s="207"/>
      <c r="W11" s="208"/>
      <c r="X11" s="207"/>
      <c r="Y11" s="209">
        <f>SUM(G11,I11,K11,M11,P11,R11,T11,V11)</f>
        <v>240</v>
      </c>
      <c r="Z11" s="209">
        <f>SUM(G11,P11)</f>
        <v>0</v>
      </c>
      <c r="AA11" s="209">
        <f>SUM(I11,R11)</f>
        <v>0</v>
      </c>
      <c r="AB11" s="209">
        <f>SUM(K11,T11)</f>
        <v>240</v>
      </c>
      <c r="AC11" s="209">
        <f>SUM(M11,V11)</f>
        <v>0</v>
      </c>
      <c r="AD11" s="209">
        <f>SUM(G11:N11,P11:W11)</f>
        <v>400</v>
      </c>
      <c r="AE11" s="209">
        <f>SUM(O11,X11)</f>
        <v>16</v>
      </c>
    </row>
    <row r="12" spans="1:31" ht="29.25" customHeight="1">
      <c r="A12" s="6">
        <v>8.1999999999999993</v>
      </c>
      <c r="B12" s="281" t="s">
        <v>51</v>
      </c>
      <c r="C12" s="203" t="str">
        <f>RAZEM!C76</f>
        <v>0912-7LEK-C8.2-P</v>
      </c>
      <c r="D12" s="29">
        <v>11</v>
      </c>
      <c r="E12" s="30">
        <v>11</v>
      </c>
      <c r="F12" s="30"/>
      <c r="G12" s="140"/>
      <c r="H12" s="140"/>
      <c r="I12" s="140"/>
      <c r="J12" s="140"/>
      <c r="K12" s="140">
        <v>120</v>
      </c>
      <c r="L12" s="187">
        <v>80</v>
      </c>
      <c r="M12" s="140"/>
      <c r="N12" s="140"/>
      <c r="O12" s="140">
        <v>8</v>
      </c>
      <c r="P12" s="138"/>
      <c r="Q12" s="190"/>
      <c r="R12" s="138"/>
      <c r="S12" s="190"/>
      <c r="T12" s="138"/>
      <c r="U12" s="138"/>
      <c r="V12" s="138"/>
      <c r="W12" s="190"/>
      <c r="X12" s="138"/>
      <c r="Y12" s="50">
        <f t="shared" ref="Y12:Y17" si="0">SUM(G12,I12,K12,M12,P12,R12,T12,V12)</f>
        <v>120</v>
      </c>
      <c r="Z12" s="50">
        <f t="shared" ref="Z12:Z17" si="1">SUM(G12,P12)</f>
        <v>0</v>
      </c>
      <c r="AA12" s="50">
        <f t="shared" ref="AA12:AA17" si="2">SUM(I12,R12)</f>
        <v>0</v>
      </c>
      <c r="AB12" s="50">
        <f t="shared" ref="AB12:AB17" si="3">SUM(K12,T12)</f>
        <v>120</v>
      </c>
      <c r="AC12" s="50">
        <f t="shared" ref="AC12:AC17" si="4">SUM(M12,V12)</f>
        <v>0</v>
      </c>
      <c r="AD12" s="50">
        <f t="shared" ref="AD12:AD17" si="5">SUM(G12:N12,P12:W12)</f>
        <v>200</v>
      </c>
      <c r="AE12" s="50">
        <f t="shared" ref="AE12:AE17" si="6">SUM(O12,X12)</f>
        <v>8</v>
      </c>
    </row>
    <row r="13" spans="1:31" ht="29.25" customHeight="1">
      <c r="A13" s="6">
        <v>8.3000000000000007</v>
      </c>
      <c r="B13" s="281" t="s">
        <v>81</v>
      </c>
      <c r="C13" s="203" t="str">
        <f>RAZEM!C77</f>
        <v>0912-7LEK-C8.3-C</v>
      </c>
      <c r="D13" s="29">
        <v>12</v>
      </c>
      <c r="E13" s="30" t="s">
        <v>32</v>
      </c>
      <c r="F13" s="30"/>
      <c r="G13" s="140"/>
      <c r="H13" s="140"/>
      <c r="I13" s="140"/>
      <c r="J13" s="140"/>
      <c r="K13" s="140">
        <v>60</v>
      </c>
      <c r="L13" s="187">
        <v>40</v>
      </c>
      <c r="M13" s="140"/>
      <c r="N13" s="140"/>
      <c r="O13" s="140">
        <v>4</v>
      </c>
      <c r="P13" s="138"/>
      <c r="Q13" s="190"/>
      <c r="R13" s="138"/>
      <c r="S13" s="190"/>
      <c r="T13" s="138">
        <v>60</v>
      </c>
      <c r="U13" s="190">
        <v>40</v>
      </c>
      <c r="V13" s="138"/>
      <c r="W13" s="190"/>
      <c r="X13" s="138">
        <v>4</v>
      </c>
      <c r="Y13" s="50">
        <f t="shared" si="0"/>
        <v>120</v>
      </c>
      <c r="Z13" s="50">
        <f t="shared" si="1"/>
        <v>0</v>
      </c>
      <c r="AA13" s="50">
        <f t="shared" si="2"/>
        <v>0</v>
      </c>
      <c r="AB13" s="50">
        <f t="shared" si="3"/>
        <v>120</v>
      </c>
      <c r="AC13" s="50">
        <f t="shared" si="4"/>
        <v>0</v>
      </c>
      <c r="AD13" s="50">
        <f t="shared" si="5"/>
        <v>200</v>
      </c>
      <c r="AE13" s="50">
        <f t="shared" si="6"/>
        <v>8</v>
      </c>
    </row>
    <row r="14" spans="1:31" ht="29.25" customHeight="1">
      <c r="A14" s="6">
        <v>8.4</v>
      </c>
      <c r="B14" s="281" t="s">
        <v>70</v>
      </c>
      <c r="C14" s="203" t="str">
        <f>RAZEM!C78</f>
        <v>0912-7LEK-C8.4-G</v>
      </c>
      <c r="D14" s="29">
        <v>12</v>
      </c>
      <c r="E14" s="30">
        <v>12</v>
      </c>
      <c r="F14" s="30"/>
      <c r="G14" s="140"/>
      <c r="H14" s="140"/>
      <c r="I14" s="140"/>
      <c r="J14" s="140"/>
      <c r="K14" s="140"/>
      <c r="L14" s="140"/>
      <c r="M14" s="140"/>
      <c r="N14" s="140"/>
      <c r="O14" s="140"/>
      <c r="P14" s="138"/>
      <c r="Q14" s="190"/>
      <c r="R14" s="138"/>
      <c r="S14" s="190"/>
      <c r="T14" s="138">
        <v>60</v>
      </c>
      <c r="U14" s="190">
        <v>40</v>
      </c>
      <c r="V14" s="138"/>
      <c r="W14" s="190"/>
      <c r="X14" s="138">
        <v>4</v>
      </c>
      <c r="Y14" s="50">
        <f t="shared" si="0"/>
        <v>60</v>
      </c>
      <c r="Z14" s="50">
        <f t="shared" si="1"/>
        <v>0</v>
      </c>
      <c r="AA14" s="50">
        <f t="shared" si="2"/>
        <v>0</v>
      </c>
      <c r="AB14" s="50">
        <f t="shared" si="3"/>
        <v>60</v>
      </c>
      <c r="AC14" s="50">
        <f t="shared" si="4"/>
        <v>0</v>
      </c>
      <c r="AD14" s="50">
        <f t="shared" si="5"/>
        <v>100</v>
      </c>
      <c r="AE14" s="50">
        <f t="shared" si="6"/>
        <v>4</v>
      </c>
    </row>
    <row r="15" spans="1:31" ht="29.25" customHeight="1">
      <c r="A15" s="6">
        <v>8.5</v>
      </c>
      <c r="B15" s="281" t="s">
        <v>54</v>
      </c>
      <c r="C15" s="203" t="str">
        <f>RAZEM!C79</f>
        <v>0912-7LEK-C8.5-P</v>
      </c>
      <c r="D15" s="29">
        <v>12</v>
      </c>
      <c r="E15" s="30">
        <v>12</v>
      </c>
      <c r="F15" s="30"/>
      <c r="G15" s="140"/>
      <c r="H15" s="140"/>
      <c r="I15" s="140"/>
      <c r="J15" s="140"/>
      <c r="K15" s="140">
        <v>60</v>
      </c>
      <c r="L15" s="140">
        <v>40</v>
      </c>
      <c r="M15" s="140"/>
      <c r="N15" s="140"/>
      <c r="O15" s="140">
        <v>4</v>
      </c>
      <c r="P15" s="138"/>
      <c r="Q15" s="190"/>
      <c r="R15" s="138"/>
      <c r="S15" s="190"/>
      <c r="T15" s="138"/>
      <c r="U15" s="190"/>
      <c r="V15" s="138"/>
      <c r="W15" s="190"/>
      <c r="X15" s="138"/>
      <c r="Y15" s="50">
        <f t="shared" si="0"/>
        <v>60</v>
      </c>
      <c r="Z15" s="50">
        <f t="shared" si="1"/>
        <v>0</v>
      </c>
      <c r="AA15" s="50">
        <f t="shared" si="2"/>
        <v>0</v>
      </c>
      <c r="AB15" s="50">
        <f t="shared" si="3"/>
        <v>60</v>
      </c>
      <c r="AC15" s="50">
        <f t="shared" si="4"/>
        <v>0</v>
      </c>
      <c r="AD15" s="50">
        <f t="shared" si="5"/>
        <v>100</v>
      </c>
      <c r="AE15" s="50">
        <f t="shared" si="6"/>
        <v>4</v>
      </c>
    </row>
    <row r="16" spans="1:31" ht="29.25" customHeight="1">
      <c r="A16" s="6">
        <v>8.6</v>
      </c>
      <c r="B16" s="281" t="s">
        <v>82</v>
      </c>
      <c r="C16" s="203" t="str">
        <f>RAZEM!C80</f>
        <v>0912-7LEK-C8.6-MR</v>
      </c>
      <c r="D16" s="29">
        <v>12</v>
      </c>
      <c r="E16" s="30">
        <v>12</v>
      </c>
      <c r="F16" s="30"/>
      <c r="G16" s="140"/>
      <c r="H16" s="140"/>
      <c r="I16" s="140"/>
      <c r="J16" s="140"/>
      <c r="K16" s="140"/>
      <c r="L16" s="140"/>
      <c r="M16" s="140"/>
      <c r="N16" s="140"/>
      <c r="O16" s="140"/>
      <c r="P16" s="138"/>
      <c r="Q16" s="190"/>
      <c r="R16" s="138"/>
      <c r="S16" s="190"/>
      <c r="T16" s="138">
        <v>60</v>
      </c>
      <c r="U16" s="190">
        <v>40</v>
      </c>
      <c r="V16" s="138"/>
      <c r="W16" s="190"/>
      <c r="X16" s="138">
        <v>4</v>
      </c>
      <c r="Y16" s="50">
        <f t="shared" si="0"/>
        <v>60</v>
      </c>
      <c r="Z16" s="50">
        <f t="shared" si="1"/>
        <v>0</v>
      </c>
      <c r="AA16" s="50">
        <f t="shared" si="2"/>
        <v>0</v>
      </c>
      <c r="AB16" s="50">
        <f t="shared" si="3"/>
        <v>60</v>
      </c>
      <c r="AC16" s="50">
        <f t="shared" si="4"/>
        <v>0</v>
      </c>
      <c r="AD16" s="50">
        <f t="shared" si="5"/>
        <v>100</v>
      </c>
      <c r="AE16" s="50">
        <f t="shared" si="6"/>
        <v>4</v>
      </c>
    </row>
    <row r="17" spans="1:31" ht="29.25" customHeight="1">
      <c r="A17" s="6">
        <v>8.6999999999999993</v>
      </c>
      <c r="B17" s="281" t="s">
        <v>56</v>
      </c>
      <c r="C17" s="203" t="str">
        <f>RAZEM!C81</f>
        <v>0912-7LEK-C8.7-M</v>
      </c>
      <c r="D17" s="29">
        <v>12</v>
      </c>
      <c r="E17" s="30">
        <v>12</v>
      </c>
      <c r="F17" s="30"/>
      <c r="G17" s="140"/>
      <c r="H17" s="140"/>
      <c r="I17" s="140"/>
      <c r="J17" s="140"/>
      <c r="K17" s="140"/>
      <c r="L17" s="140"/>
      <c r="M17" s="140"/>
      <c r="N17" s="140"/>
      <c r="O17" s="140"/>
      <c r="P17" s="138"/>
      <c r="Q17" s="190"/>
      <c r="R17" s="138"/>
      <c r="S17" s="190"/>
      <c r="T17" s="138">
        <v>60</v>
      </c>
      <c r="U17" s="190">
        <v>40</v>
      </c>
      <c r="V17" s="138"/>
      <c r="W17" s="190"/>
      <c r="X17" s="138">
        <v>4</v>
      </c>
      <c r="Y17" s="50">
        <f t="shared" si="0"/>
        <v>60</v>
      </c>
      <c r="Z17" s="50">
        <f t="shared" si="1"/>
        <v>0</v>
      </c>
      <c r="AA17" s="50">
        <f t="shared" si="2"/>
        <v>0</v>
      </c>
      <c r="AB17" s="50">
        <f t="shared" si="3"/>
        <v>60</v>
      </c>
      <c r="AC17" s="50">
        <f t="shared" si="4"/>
        <v>0</v>
      </c>
      <c r="AD17" s="50">
        <f t="shared" si="5"/>
        <v>100</v>
      </c>
      <c r="AE17" s="50">
        <f t="shared" si="6"/>
        <v>4</v>
      </c>
    </row>
    <row r="18" spans="1:31" ht="29.25" customHeight="1">
      <c r="A18" s="6">
        <v>8.8000000000000007</v>
      </c>
      <c r="B18" s="281" t="s">
        <v>33</v>
      </c>
      <c r="C18" s="203" t="str">
        <f>RAZEM!C82</f>
        <v>0912-7LEK-C8.8-S</v>
      </c>
      <c r="D18" s="29"/>
      <c r="E18" s="461">
        <v>12</v>
      </c>
      <c r="F18" s="30"/>
      <c r="G18" s="140"/>
      <c r="H18" s="140"/>
      <c r="I18" s="140"/>
      <c r="J18" s="140"/>
      <c r="K18" s="140"/>
      <c r="L18" s="140"/>
      <c r="M18" s="140"/>
      <c r="N18" s="140"/>
      <c r="O18" s="140"/>
      <c r="P18" s="138"/>
      <c r="Q18" s="190"/>
      <c r="R18" s="138"/>
      <c r="S18" s="190"/>
      <c r="T18" s="138">
        <v>180</v>
      </c>
      <c r="U18" s="190">
        <v>120</v>
      </c>
      <c r="V18" s="138"/>
      <c r="W18" s="190"/>
      <c r="X18" s="138">
        <v>12</v>
      </c>
      <c r="Y18" s="50">
        <f t="shared" ref="Y18" si="7">SUM(G18,I18,K18,M18,P18,R18,T18,V18)</f>
        <v>180</v>
      </c>
      <c r="Z18" s="50">
        <f t="shared" ref="Z18" si="8">SUM(G18,P18)</f>
        <v>0</v>
      </c>
      <c r="AA18" s="50">
        <f t="shared" ref="AA18" si="9">SUM(I18,R18)</f>
        <v>0</v>
      </c>
      <c r="AB18" s="50">
        <f t="shared" ref="AB18" si="10">SUM(K18,T18)</f>
        <v>180</v>
      </c>
      <c r="AC18" s="50">
        <f t="shared" ref="AC18" si="11">SUM(M18,V18)</f>
        <v>0</v>
      </c>
      <c r="AD18" s="50">
        <f t="shared" ref="AD18" si="12">SUM(G18:N18,P18:W18)</f>
        <v>300</v>
      </c>
      <c r="AE18" s="50">
        <f t="shared" ref="AE18" si="13">SUM(O18,X18)</f>
        <v>12</v>
      </c>
    </row>
    <row r="19" spans="1:31" ht="29.25" customHeight="1">
      <c r="A19" s="52" t="s">
        <v>31</v>
      </c>
      <c r="B19" s="53"/>
      <c r="C19" s="54"/>
      <c r="D19" s="118"/>
      <c r="E19" s="118"/>
      <c r="F19" s="118"/>
      <c r="G19" s="55"/>
      <c r="H19" s="55"/>
      <c r="I19" s="55"/>
      <c r="J19" s="55"/>
      <c r="K19" s="55"/>
      <c r="L19" s="195"/>
      <c r="M19" s="55"/>
      <c r="N19" s="55"/>
      <c r="O19" s="55"/>
      <c r="P19" s="55"/>
      <c r="Q19" s="55"/>
      <c r="R19" s="55"/>
      <c r="S19" s="55"/>
      <c r="T19" s="55"/>
      <c r="U19" s="55"/>
      <c r="V19" s="55"/>
      <c r="W19" s="55"/>
      <c r="X19" s="55"/>
      <c r="Y19" s="55"/>
      <c r="Z19" s="55"/>
      <c r="AA19" s="55"/>
      <c r="AB19" s="55"/>
      <c r="AC19" s="55"/>
      <c r="AD19" s="55"/>
      <c r="AE19" s="56"/>
    </row>
    <row r="20" spans="1:31" ht="29.25" customHeight="1">
      <c r="A20" s="154">
        <v>10.6</v>
      </c>
      <c r="B20" s="60" t="s">
        <v>109</v>
      </c>
      <c r="C20" s="203" t="str">
        <f>"0912-7LEK-A"&amp;A20&amp;"-"&amp;UPPER(LEFT(B20,1))&amp;"F"</f>
        <v>0912-7LEK-A10.6-WF</v>
      </c>
      <c r="D20" s="274"/>
      <c r="E20" s="273"/>
      <c r="F20" s="290" t="s">
        <v>124</v>
      </c>
      <c r="G20" s="140"/>
      <c r="H20" s="187"/>
      <c r="I20" s="140">
        <v>15</v>
      </c>
      <c r="J20" s="187"/>
      <c r="K20" s="140"/>
      <c r="L20" s="187"/>
      <c r="M20" s="140"/>
      <c r="N20" s="187"/>
      <c r="O20" s="140">
        <v>0</v>
      </c>
      <c r="P20" s="138"/>
      <c r="Q20" s="190"/>
      <c r="R20" s="138">
        <v>15</v>
      </c>
      <c r="S20" s="190"/>
      <c r="T20" s="138"/>
      <c r="U20" s="190"/>
      <c r="V20" s="138"/>
      <c r="W20" s="190"/>
      <c r="X20" s="138">
        <v>0</v>
      </c>
      <c r="Y20" s="116">
        <f>SUM(G20,I20,K20,M20,P20,R20,T20,V20)</f>
        <v>30</v>
      </c>
      <c r="Z20" s="116">
        <f>SUM(G20,P20)</f>
        <v>0</v>
      </c>
      <c r="AA20" s="116">
        <f>SUM(I20,R20)</f>
        <v>30</v>
      </c>
      <c r="AB20" s="116">
        <f>SUM(K20,T20)</f>
        <v>0</v>
      </c>
      <c r="AC20" s="116">
        <f>SUM(M20,V20)</f>
        <v>0</v>
      </c>
      <c r="AD20" s="116">
        <f>SUM(G20:N20,P20:W20)</f>
        <v>30</v>
      </c>
      <c r="AE20" s="116">
        <f>SUM(O20,X20)</f>
        <v>0</v>
      </c>
    </row>
    <row r="21" spans="1:31" ht="29.25" customHeight="1">
      <c r="A21" s="474" t="s">
        <v>9</v>
      </c>
      <c r="B21" s="475"/>
      <c r="C21" s="475"/>
      <c r="D21" s="475"/>
      <c r="E21" s="475"/>
      <c r="F21" s="476"/>
      <c r="G21" s="58">
        <f t="shared" ref="G21:X21" si="14">SUM(G20:G20)</f>
        <v>0</v>
      </c>
      <c r="H21" s="188">
        <f t="shared" si="14"/>
        <v>0</v>
      </c>
      <c r="I21" s="58">
        <f t="shared" si="14"/>
        <v>15</v>
      </c>
      <c r="J21" s="188">
        <f t="shared" si="14"/>
        <v>0</v>
      </c>
      <c r="K21" s="58">
        <f t="shared" si="14"/>
        <v>0</v>
      </c>
      <c r="L21" s="188">
        <f t="shared" si="14"/>
        <v>0</v>
      </c>
      <c r="M21" s="58">
        <f t="shared" si="14"/>
        <v>0</v>
      </c>
      <c r="N21" s="188">
        <f t="shared" si="14"/>
        <v>0</v>
      </c>
      <c r="O21" s="58">
        <f t="shared" si="14"/>
        <v>0</v>
      </c>
      <c r="P21" s="58">
        <f t="shared" si="14"/>
        <v>0</v>
      </c>
      <c r="Q21" s="188">
        <f t="shared" si="14"/>
        <v>0</v>
      </c>
      <c r="R21" s="58">
        <f t="shared" si="14"/>
        <v>15</v>
      </c>
      <c r="S21" s="188">
        <f t="shared" si="14"/>
        <v>0</v>
      </c>
      <c r="T21" s="58">
        <f t="shared" si="14"/>
        <v>0</v>
      </c>
      <c r="U21" s="188">
        <f t="shared" si="14"/>
        <v>0</v>
      </c>
      <c r="V21" s="58">
        <f t="shared" si="14"/>
        <v>0</v>
      </c>
      <c r="W21" s="188">
        <f t="shared" si="14"/>
        <v>0</v>
      </c>
      <c r="X21" s="58">
        <f t="shared" si="14"/>
        <v>0</v>
      </c>
      <c r="Y21" s="58">
        <f t="shared" ref="Y21:AE21" si="15">SUM(Y20:Y20)</f>
        <v>30</v>
      </c>
      <c r="Z21" s="58">
        <f t="shared" si="15"/>
        <v>0</v>
      </c>
      <c r="AA21" s="58">
        <f t="shared" si="15"/>
        <v>30</v>
      </c>
      <c r="AB21" s="58">
        <f t="shared" si="15"/>
        <v>0</v>
      </c>
      <c r="AC21" s="58">
        <f t="shared" si="15"/>
        <v>0</v>
      </c>
      <c r="AD21" s="58">
        <f t="shared" si="15"/>
        <v>30</v>
      </c>
      <c r="AE21" s="58">
        <f t="shared" si="15"/>
        <v>0</v>
      </c>
    </row>
    <row r="22" spans="1:31" ht="19.5" customHeight="1">
      <c r="A22" s="580" t="s">
        <v>117</v>
      </c>
      <c r="B22" s="581"/>
      <c r="C22" s="581"/>
      <c r="D22" s="581"/>
      <c r="E22" s="581"/>
      <c r="F22" s="581"/>
      <c r="G22" s="581"/>
      <c r="H22" s="581"/>
      <c r="I22" s="581"/>
      <c r="J22" s="581"/>
      <c r="K22" s="581"/>
      <c r="L22" s="581"/>
      <c r="M22" s="581"/>
      <c r="N22" s="581"/>
      <c r="O22" s="581"/>
      <c r="P22" s="581"/>
      <c r="Q22" s="581"/>
      <c r="R22" s="581"/>
      <c r="S22" s="581"/>
      <c r="T22" s="581"/>
      <c r="U22" s="581"/>
      <c r="V22" s="581"/>
      <c r="W22" s="581"/>
      <c r="X22" s="581"/>
      <c r="Y22" s="581"/>
      <c r="Z22" s="581"/>
      <c r="AA22" s="581"/>
      <c r="AB22" s="581"/>
      <c r="AC22" s="581"/>
      <c r="AD22" s="581"/>
      <c r="AE22" s="582"/>
    </row>
    <row r="23" spans="1:31" ht="34.5" customHeight="1">
      <c r="A23" s="277" t="s">
        <v>338</v>
      </c>
      <c r="B23" s="435" t="s">
        <v>259</v>
      </c>
      <c r="C23" s="47" t="str">
        <f>"0912-7LEK-F"&amp;A23&amp;"-"&amp;UPPER(LEFT(B23,1))</f>
        <v>0912-7LEK-F59-Z</v>
      </c>
      <c r="D23" s="29"/>
      <c r="E23" s="290" t="s">
        <v>250</v>
      </c>
      <c r="F23" s="30"/>
      <c r="G23" s="140"/>
      <c r="H23" s="140"/>
      <c r="I23" s="140">
        <v>30</v>
      </c>
      <c r="J23" s="140">
        <v>20</v>
      </c>
      <c r="K23" s="140"/>
      <c r="L23" s="140"/>
      <c r="M23" s="140"/>
      <c r="N23" s="140"/>
      <c r="O23" s="140">
        <v>2</v>
      </c>
      <c r="P23" s="138"/>
      <c r="Q23" s="190"/>
      <c r="R23" s="138">
        <v>30</v>
      </c>
      <c r="S23" s="190">
        <v>20</v>
      </c>
      <c r="T23" s="138"/>
      <c r="U23" s="190"/>
      <c r="V23" s="138"/>
      <c r="W23" s="190"/>
      <c r="X23" s="138">
        <v>2</v>
      </c>
      <c r="Y23" s="50">
        <f>SUM(G23,I23,K23,M23,P23,R23,T23,V23)</f>
        <v>60</v>
      </c>
      <c r="Z23" s="50">
        <f>SUM(G23,P23)</f>
        <v>0</v>
      </c>
      <c r="AA23" s="50">
        <f>SUM(I23,R23)</f>
        <v>60</v>
      </c>
      <c r="AB23" s="50">
        <f>SUM(K23,T23)</f>
        <v>0</v>
      </c>
      <c r="AC23" s="50">
        <f>SUM(M23,V23)</f>
        <v>0</v>
      </c>
      <c r="AD23" s="50">
        <f>SUM(G23:M23,P23:W23,N23)</f>
        <v>100</v>
      </c>
      <c r="AE23" s="50">
        <f>SUM(O23,X23)</f>
        <v>4</v>
      </c>
    </row>
    <row r="24" spans="1:31" ht="17.25" customHeight="1" thickBot="1">
      <c r="A24" s="577" t="s">
        <v>9</v>
      </c>
      <c r="B24" s="578"/>
      <c r="C24" s="578"/>
      <c r="D24" s="578"/>
      <c r="E24" s="578"/>
      <c r="F24" s="579"/>
      <c r="G24" s="117">
        <f t="shared" ref="G24:AE24" si="16">SUM(G23:G23)</f>
        <v>0</v>
      </c>
      <c r="H24" s="117">
        <f t="shared" si="16"/>
        <v>0</v>
      </c>
      <c r="I24" s="117">
        <f t="shared" si="16"/>
        <v>30</v>
      </c>
      <c r="J24" s="117">
        <f t="shared" si="16"/>
        <v>20</v>
      </c>
      <c r="K24" s="117">
        <f t="shared" si="16"/>
        <v>0</v>
      </c>
      <c r="L24" s="117">
        <f t="shared" si="16"/>
        <v>0</v>
      </c>
      <c r="M24" s="117">
        <f t="shared" si="16"/>
        <v>0</v>
      </c>
      <c r="N24" s="117">
        <f t="shared" si="16"/>
        <v>0</v>
      </c>
      <c r="O24" s="117">
        <f t="shared" si="16"/>
        <v>2</v>
      </c>
      <c r="P24" s="117">
        <f t="shared" si="16"/>
        <v>0</v>
      </c>
      <c r="Q24" s="117">
        <f t="shared" si="16"/>
        <v>0</v>
      </c>
      <c r="R24" s="117">
        <f t="shared" si="16"/>
        <v>30</v>
      </c>
      <c r="S24" s="117">
        <f t="shared" si="16"/>
        <v>20</v>
      </c>
      <c r="T24" s="117">
        <f t="shared" si="16"/>
        <v>0</v>
      </c>
      <c r="U24" s="117">
        <f t="shared" si="16"/>
        <v>0</v>
      </c>
      <c r="V24" s="117">
        <f t="shared" si="16"/>
        <v>0</v>
      </c>
      <c r="W24" s="117">
        <f t="shared" si="16"/>
        <v>0</v>
      </c>
      <c r="X24" s="117">
        <f t="shared" si="16"/>
        <v>2</v>
      </c>
      <c r="Y24" s="117">
        <f t="shared" si="16"/>
        <v>60</v>
      </c>
      <c r="Z24" s="117">
        <f t="shared" si="16"/>
        <v>0</v>
      </c>
      <c r="AA24" s="117">
        <f t="shared" si="16"/>
        <v>60</v>
      </c>
      <c r="AB24" s="117">
        <f t="shared" si="16"/>
        <v>0</v>
      </c>
      <c r="AC24" s="117">
        <f t="shared" si="16"/>
        <v>0</v>
      </c>
      <c r="AD24" s="117">
        <f t="shared" si="16"/>
        <v>100</v>
      </c>
      <c r="AE24" s="117">
        <f t="shared" si="16"/>
        <v>4</v>
      </c>
    </row>
    <row r="25" spans="1:31" ht="26.25" customHeight="1">
      <c r="A25" s="574" t="s">
        <v>255</v>
      </c>
      <c r="B25" s="575"/>
      <c r="C25" s="575"/>
      <c r="D25" s="575"/>
      <c r="E25" s="575"/>
      <c r="F25" s="576"/>
      <c r="G25" s="272">
        <f>SUM(G11:G18,G21,G24)</f>
        <v>0</v>
      </c>
      <c r="H25" s="272">
        <f t="shared" ref="H25:O25" si="17">SUM(H11:H18,H21,H24)</f>
        <v>0</v>
      </c>
      <c r="I25" s="272">
        <f t="shared" si="17"/>
        <v>45</v>
      </c>
      <c r="J25" s="272">
        <f t="shared" si="17"/>
        <v>20</v>
      </c>
      <c r="K25" s="272">
        <f t="shared" si="17"/>
        <v>480</v>
      </c>
      <c r="L25" s="272">
        <f t="shared" si="17"/>
        <v>320</v>
      </c>
      <c r="M25" s="272">
        <f t="shared" si="17"/>
        <v>0</v>
      </c>
      <c r="N25" s="272">
        <f t="shared" si="17"/>
        <v>0</v>
      </c>
      <c r="O25" s="272">
        <f t="shared" si="17"/>
        <v>34</v>
      </c>
      <c r="P25" s="272">
        <f>SUM(P11:P18,P21,P24)</f>
        <v>0</v>
      </c>
      <c r="Q25" s="272">
        <f t="shared" ref="Q25" si="18">SUM(Q11:Q18,Q21,Q24)</f>
        <v>0</v>
      </c>
      <c r="R25" s="272">
        <f t="shared" ref="R25" si="19">SUM(R11:R18,R21,R24)</f>
        <v>45</v>
      </c>
      <c r="S25" s="272">
        <f t="shared" ref="S25" si="20">SUM(S11:S18,S21,S24)</f>
        <v>20</v>
      </c>
      <c r="T25" s="272">
        <f t="shared" ref="T25" si="21">SUM(T11:T18,T21,T24)</f>
        <v>420</v>
      </c>
      <c r="U25" s="272">
        <f t="shared" ref="U25" si="22">SUM(U11:U18,U21,U24)</f>
        <v>280</v>
      </c>
      <c r="V25" s="272">
        <f t="shared" ref="V25" si="23">SUM(V11:V18,V21,V24)</f>
        <v>0</v>
      </c>
      <c r="W25" s="272">
        <f t="shared" ref="W25" si="24">SUM(W11:W18,W21,W24)</f>
        <v>0</v>
      </c>
      <c r="X25" s="272">
        <f t="shared" ref="X25" si="25">SUM(X11:X18,X21,X24)</f>
        <v>30</v>
      </c>
      <c r="Y25" s="272">
        <f>SUM(Y11:Y18,Y21,Y24)</f>
        <v>990</v>
      </c>
      <c r="Z25" s="272">
        <f t="shared" ref="Z25:AB25" si="26">SUM(Z11:Z18,Z21,Z24)</f>
        <v>0</v>
      </c>
      <c r="AA25" s="272">
        <f t="shared" si="26"/>
        <v>90</v>
      </c>
      <c r="AB25" s="272">
        <f t="shared" si="26"/>
        <v>900</v>
      </c>
      <c r="AC25" s="272">
        <f>SUM(AC11:AC18,AC21,AC24)</f>
        <v>0</v>
      </c>
      <c r="AD25" s="272">
        <f t="shared" ref="AD25:AE25" si="27">SUM(AD11:AD18,AD21,AD24)</f>
        <v>1630</v>
      </c>
      <c r="AE25" s="272">
        <f t="shared" si="27"/>
        <v>64</v>
      </c>
    </row>
    <row r="30" spans="1:31" ht="20.25" customHeight="1"/>
    <row r="31" spans="1:31" ht="16.5" customHeight="1"/>
    <row r="32" spans="1:31" ht="125.25" customHeight="1">
      <c r="B32" s="467" t="s">
        <v>256</v>
      </c>
      <c r="C32" s="467"/>
      <c r="D32" s="467"/>
      <c r="E32" s="467"/>
      <c r="F32" s="467"/>
      <c r="G32" s="467"/>
      <c r="H32" s="467"/>
      <c r="I32" s="467"/>
      <c r="J32" s="467"/>
      <c r="K32" s="467"/>
      <c r="L32" s="467"/>
      <c r="M32" s="467"/>
      <c r="N32" s="467"/>
      <c r="O32" s="467"/>
      <c r="R32" s="276" t="s">
        <v>127</v>
      </c>
    </row>
  </sheetData>
  <mergeCells count="37">
    <mergeCell ref="B32:O32"/>
    <mergeCell ref="A22:AE22"/>
    <mergeCell ref="A1:AE1"/>
    <mergeCell ref="A2:B2"/>
    <mergeCell ref="H2:P2"/>
    <mergeCell ref="A3:B3"/>
    <mergeCell ref="A5:F5"/>
    <mergeCell ref="G5:AE5"/>
    <mergeCell ref="AB6:AB9"/>
    <mergeCell ref="AC6:AC9"/>
    <mergeCell ref="AD6:AD9"/>
    <mergeCell ref="AE6:AE9"/>
    <mergeCell ref="G7:O7"/>
    <mergeCell ref="P7:X7"/>
    <mergeCell ref="G8:H8"/>
    <mergeCell ref="I8:J8"/>
    <mergeCell ref="M8:N8"/>
    <mergeCell ref="R8:S8"/>
    <mergeCell ref="T8:U8"/>
    <mergeCell ref="V8:W8"/>
    <mergeCell ref="X8:X9"/>
    <mergeCell ref="A25:F25"/>
    <mergeCell ref="AA6:AA9"/>
    <mergeCell ref="O8:O9"/>
    <mergeCell ref="P8:Q8"/>
    <mergeCell ref="A6:A9"/>
    <mergeCell ref="B6:B9"/>
    <mergeCell ref="C6:C9"/>
    <mergeCell ref="D6:F7"/>
    <mergeCell ref="D8:D9"/>
    <mergeCell ref="E8:E9"/>
    <mergeCell ref="F8:F9"/>
    <mergeCell ref="A24:F24"/>
    <mergeCell ref="A21:F21"/>
    <mergeCell ref="K8:L8"/>
    <mergeCell ref="Y6:Y9"/>
    <mergeCell ref="Z6:Z9"/>
  </mergeCells>
  <pageMargins left="0.23622047244094491" right="0.23622047244094491" top="0.55118110236220474" bottom="0.55118110236220474" header="0.31496062992125984" footer="0.31496062992125984"/>
  <pageSetup paperSize="9" scale="59" orientation="landscape" r:id="rId1"/>
  <colBreaks count="1" manualBreakCount="1">
    <brk id="30" max="1048575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139"/>
  <sheetViews>
    <sheetView view="pageBreakPreview" topLeftCell="A118" zoomScaleNormal="100" zoomScaleSheetLayoutView="100" workbookViewId="0">
      <selection activeCell="A131" sqref="A131:K131"/>
    </sheetView>
  </sheetViews>
  <sheetFormatPr defaultRowHeight="15"/>
  <cols>
    <col min="1" max="1" width="6" style="231" customWidth="1"/>
    <col min="2" max="2" width="38.7109375" style="231" customWidth="1"/>
    <col min="3" max="3" width="19.42578125" style="288" customWidth="1"/>
    <col min="4" max="4" width="11.140625" style="237" customWidth="1"/>
    <col min="5" max="5" width="7.28515625" style="230" customWidth="1"/>
    <col min="6" max="9" width="5.28515625" style="230" customWidth="1"/>
    <col min="10" max="10" width="9.140625" style="230" customWidth="1"/>
    <col min="11" max="11" width="6.85546875" style="230" customWidth="1"/>
    <col min="12" max="16384" width="9.140625" style="231"/>
  </cols>
  <sheetData>
    <row r="1" spans="1:51" ht="66.75" customHeight="1">
      <c r="A1" s="588" t="s">
        <v>265</v>
      </c>
      <c r="B1" s="588"/>
      <c r="C1" s="588"/>
      <c r="D1" s="588"/>
      <c r="E1" s="588"/>
      <c r="F1" s="588"/>
      <c r="G1" s="588"/>
      <c r="H1" s="588"/>
      <c r="I1" s="588"/>
      <c r="J1" s="588"/>
      <c r="K1" s="588"/>
      <c r="L1" s="292"/>
      <c r="M1" s="292"/>
      <c r="N1" s="292"/>
      <c r="O1" s="292"/>
      <c r="P1" s="292"/>
      <c r="Q1" s="292"/>
      <c r="R1" s="292"/>
      <c r="S1" s="292"/>
      <c r="T1" s="292"/>
      <c r="U1" s="292"/>
      <c r="V1" s="292"/>
      <c r="W1" s="292"/>
      <c r="X1" s="292"/>
      <c r="Y1" s="292"/>
      <c r="Z1" s="292"/>
      <c r="AA1" s="292"/>
      <c r="AB1" s="292"/>
      <c r="AC1" s="292"/>
      <c r="AD1" s="292"/>
      <c r="AE1" s="292"/>
    </row>
    <row r="2" spans="1:51" ht="30.75" customHeight="1">
      <c r="A2" s="610" t="s">
        <v>262</v>
      </c>
      <c r="B2" s="610"/>
      <c r="C2" s="294" t="s">
        <v>263</v>
      </c>
      <c r="D2" s="295"/>
      <c r="E2" s="296"/>
      <c r="F2" s="296"/>
      <c r="G2" s="296"/>
      <c r="H2" s="297"/>
      <c r="I2" s="297"/>
      <c r="J2" s="297"/>
      <c r="K2" s="297"/>
      <c r="L2" s="293"/>
      <c r="M2" s="293"/>
      <c r="N2" s="293"/>
      <c r="O2" s="293"/>
      <c r="P2" s="293"/>
      <c r="Q2" s="131"/>
      <c r="R2" s="131"/>
      <c r="S2" s="131"/>
      <c r="T2" s="131"/>
      <c r="U2" s="131"/>
      <c r="V2" s="131"/>
      <c r="W2" s="131"/>
      <c r="X2" s="131"/>
      <c r="Y2" s="131"/>
      <c r="Z2" s="131"/>
      <c r="AA2" s="131"/>
      <c r="AB2" s="131"/>
      <c r="AC2" s="131"/>
      <c r="AD2" s="131"/>
      <c r="AE2" s="131"/>
    </row>
    <row r="3" spans="1:51" ht="23.25" customHeight="1">
      <c r="A3" s="610" t="s">
        <v>264</v>
      </c>
      <c r="B3" s="610"/>
      <c r="C3" s="298"/>
      <c r="D3" s="299"/>
      <c r="E3" s="299"/>
      <c r="F3" s="299"/>
      <c r="G3" s="299"/>
      <c r="H3" s="299"/>
      <c r="I3" s="299"/>
      <c r="J3" s="299"/>
      <c r="K3" s="299"/>
      <c r="L3" s="131"/>
      <c r="M3" s="131"/>
      <c r="N3" s="131"/>
      <c r="O3" s="131"/>
      <c r="P3" s="131"/>
      <c r="Q3" s="131"/>
      <c r="R3" s="131"/>
      <c r="S3" s="131"/>
      <c r="T3" s="131"/>
      <c r="U3" s="131"/>
      <c r="V3" s="131"/>
      <c r="W3" s="131"/>
      <c r="X3" s="131"/>
      <c r="Y3" s="131"/>
      <c r="Z3" s="131"/>
      <c r="AA3" s="131"/>
      <c r="AB3" s="131"/>
      <c r="AC3" s="131"/>
      <c r="AD3" s="131"/>
      <c r="AE3" s="131"/>
    </row>
    <row r="4" spans="1:51" ht="63.75" customHeight="1">
      <c r="A4" s="222" t="s">
        <v>0</v>
      </c>
      <c r="B4" s="221" t="s">
        <v>4</v>
      </c>
      <c r="C4" s="218" t="s">
        <v>1</v>
      </c>
      <c r="D4" s="238" t="s">
        <v>244</v>
      </c>
      <c r="E4" s="184" t="s">
        <v>5</v>
      </c>
      <c r="F4" s="184" t="s">
        <v>89</v>
      </c>
      <c r="G4" s="184" t="s">
        <v>88</v>
      </c>
      <c r="H4" s="184" t="s">
        <v>94</v>
      </c>
      <c r="I4" s="184" t="s">
        <v>90</v>
      </c>
      <c r="J4" s="184" t="s">
        <v>14</v>
      </c>
      <c r="K4" s="184" t="s">
        <v>6</v>
      </c>
    </row>
    <row r="5" spans="1:51" ht="15" customHeight="1">
      <c r="A5" s="302" t="s">
        <v>22</v>
      </c>
      <c r="B5" s="225"/>
      <c r="C5" s="286"/>
      <c r="D5" s="245"/>
      <c r="E5" s="246"/>
      <c r="F5" s="246"/>
      <c r="G5" s="246"/>
      <c r="H5" s="246"/>
      <c r="I5" s="247"/>
      <c r="J5" s="247"/>
      <c r="K5" s="301"/>
      <c r="L5" s="223"/>
      <c r="M5" s="223"/>
      <c r="N5" s="223"/>
      <c r="O5" s="223"/>
    </row>
    <row r="6" spans="1:51" ht="18.75" customHeight="1">
      <c r="A6" s="216">
        <v>1.1000000000000001</v>
      </c>
      <c r="B6" s="240" t="s">
        <v>18</v>
      </c>
      <c r="C6" s="203" t="str">
        <f>"0912-7LEK-B"&amp;A6&amp;"-"&amp;UPPER(LEFT(B6,1))</f>
        <v>0912-7LEK-B1.1-A</v>
      </c>
      <c r="D6" s="241" t="s">
        <v>240</v>
      </c>
      <c r="E6" s="242">
        <f>SUM(F6:I6)</f>
        <v>225</v>
      </c>
      <c r="F6" s="242">
        <f>'I rok'!G11+'I rok'!P11</f>
        <v>75</v>
      </c>
      <c r="G6" s="242">
        <f>'I rok'!I11+'I rok'!R11</f>
        <v>60</v>
      </c>
      <c r="H6" s="242">
        <f>'I rok'!K11+'I rok'!T11</f>
        <v>90</v>
      </c>
      <c r="I6" s="185">
        <f>'I rok'!M11+'I rok'!V11</f>
        <v>0</v>
      </c>
      <c r="J6" s="252">
        <f>'I rok'!AD11</f>
        <v>425</v>
      </c>
      <c r="K6" s="252">
        <f>'I rok'!O11+'I rok'!X11</f>
        <v>17</v>
      </c>
      <c r="L6" s="289"/>
      <c r="M6" s="223"/>
      <c r="N6" s="223"/>
      <c r="O6" s="223"/>
    </row>
    <row r="7" spans="1:51" ht="18.75" customHeight="1">
      <c r="A7" s="215">
        <v>1.2</v>
      </c>
      <c r="B7" s="217" t="s">
        <v>20</v>
      </c>
      <c r="C7" s="17" t="str">
        <f>"0912-7LEK-B"&amp;A7&amp;"-"&amp;UPPER(LEFT(B7,1))</f>
        <v>0912-7LEK-B1.2-H</v>
      </c>
      <c r="D7" s="227" t="s">
        <v>240</v>
      </c>
      <c r="E7" s="242">
        <f>SUM(F7:I7)</f>
        <v>105</v>
      </c>
      <c r="F7" s="242">
        <f>'I rok'!G12+'I rok'!P12</f>
        <v>35</v>
      </c>
      <c r="G7" s="242">
        <f>'I rok'!I12+'I rok'!R12</f>
        <v>35</v>
      </c>
      <c r="H7" s="242">
        <f>'I rok'!K12+'I rok'!T12</f>
        <v>35</v>
      </c>
      <c r="I7" s="224">
        <f>'I rok'!M12+'I rok'!V12</f>
        <v>0</v>
      </c>
      <c r="J7" s="252">
        <f>'I rok'!AD12</f>
        <v>250</v>
      </c>
      <c r="K7" s="252">
        <f>'I rok'!O12+'I rok'!X12</f>
        <v>10</v>
      </c>
      <c r="L7" s="223"/>
      <c r="M7" s="223"/>
      <c r="N7" s="223"/>
      <c r="O7" s="223"/>
    </row>
    <row r="8" spans="1:51">
      <c r="A8" s="592" t="s">
        <v>9</v>
      </c>
      <c r="B8" s="593"/>
      <c r="C8" s="593"/>
      <c r="D8" s="594"/>
      <c r="E8" s="239">
        <f t="shared" ref="E8:K8" si="0">SUM(E6:E7)</f>
        <v>330</v>
      </c>
      <c r="F8" s="239">
        <f t="shared" si="0"/>
        <v>110</v>
      </c>
      <c r="G8" s="239">
        <f t="shared" si="0"/>
        <v>95</v>
      </c>
      <c r="H8" s="239">
        <f t="shared" si="0"/>
        <v>125</v>
      </c>
      <c r="I8" s="239">
        <f t="shared" si="0"/>
        <v>0</v>
      </c>
      <c r="J8" s="239">
        <f t="shared" si="0"/>
        <v>675</v>
      </c>
      <c r="K8" s="239">
        <f t="shared" si="0"/>
        <v>27</v>
      </c>
      <c r="L8" s="223"/>
      <c r="M8" s="223"/>
      <c r="N8" s="223"/>
      <c r="O8" s="223"/>
    </row>
    <row r="9" spans="1:51">
      <c r="A9" s="585" t="s">
        <v>23</v>
      </c>
      <c r="B9" s="586"/>
      <c r="C9" s="586"/>
      <c r="D9" s="586"/>
      <c r="E9" s="586"/>
      <c r="F9" s="586"/>
      <c r="G9" s="586"/>
      <c r="H9" s="586"/>
      <c r="I9" s="586"/>
      <c r="J9" s="586"/>
      <c r="K9" s="587"/>
      <c r="N9" s="244"/>
      <c r="O9" s="244"/>
      <c r="P9" s="244"/>
      <c r="Q9" s="244"/>
      <c r="R9" s="244"/>
      <c r="S9" s="244"/>
      <c r="T9" s="244"/>
      <c r="U9" s="244"/>
      <c r="V9" s="244"/>
      <c r="W9" s="244"/>
      <c r="X9" s="244"/>
      <c r="Y9" s="244"/>
      <c r="Z9" s="244"/>
      <c r="AA9" s="244"/>
      <c r="AB9" s="244"/>
      <c r="AC9" s="244"/>
      <c r="AD9" s="244"/>
      <c r="AE9" s="244"/>
      <c r="AF9" s="244"/>
      <c r="AG9" s="244"/>
      <c r="AH9" s="244"/>
      <c r="AI9" s="244"/>
      <c r="AJ9" s="244"/>
      <c r="AK9" s="244"/>
      <c r="AL9" s="244"/>
      <c r="AM9" s="244"/>
      <c r="AN9" s="244"/>
      <c r="AO9" s="244"/>
      <c r="AP9" s="244"/>
      <c r="AQ9" s="244"/>
      <c r="AR9" s="244"/>
      <c r="AS9" s="244"/>
      <c r="AT9" s="244"/>
      <c r="AU9" s="244"/>
      <c r="AV9" s="244"/>
      <c r="AW9" s="244"/>
      <c r="AX9" s="244"/>
      <c r="AY9" s="244"/>
    </row>
    <row r="10" spans="1:51" ht="18.75" customHeight="1">
      <c r="A10" s="216">
        <v>2.1</v>
      </c>
      <c r="B10" s="240" t="s">
        <v>35</v>
      </c>
      <c r="C10" s="203" t="str">
        <f>"0912-7LEK-B"&amp;A10&amp;"-"&amp;UPPER(LEFT(B10,1))&amp;"f"</f>
        <v>0912-7LEK-B2.1-Bf</v>
      </c>
      <c r="D10" s="241">
        <v>4</v>
      </c>
      <c r="E10" s="242">
        <f>SUM(F10:I10)</f>
        <v>50</v>
      </c>
      <c r="F10" s="242">
        <f>'II rok'!G11+'II rok'!P11</f>
        <v>20</v>
      </c>
      <c r="G10" s="242">
        <f>'II rok'!I11+'II rok'!R11</f>
        <v>15</v>
      </c>
      <c r="H10" s="242">
        <f>'II rok'!K11+'II rok'!T11</f>
        <v>0</v>
      </c>
      <c r="I10" s="242">
        <f>'II rok'!M11+'II rok'!V11</f>
        <v>15</v>
      </c>
      <c r="J10" s="242">
        <f>'II rok'!G11+'II rok'!H11+'II rok'!I11+'II rok'!J11+'II rok'!K11+'II rok'!L11+'II rok'!M11+'II rok'!N11+'II rok'!P11+'II rok'!Q11+'II rok'!R11+'II rok'!S11+'II rok'!T11+'II rok'!U11+'II rok'!V11+'II rok'!W11</f>
        <v>75</v>
      </c>
      <c r="K10" s="242">
        <f>'II rok'!X11+'II rok'!O11</f>
        <v>3</v>
      </c>
      <c r="N10" s="244"/>
      <c r="O10" s="244"/>
      <c r="P10" s="244"/>
      <c r="Q10" s="244"/>
      <c r="R10" s="244"/>
      <c r="S10" s="244"/>
      <c r="T10" s="244"/>
      <c r="U10" s="244"/>
      <c r="V10" s="244"/>
      <c r="W10" s="244"/>
      <c r="X10" s="244"/>
      <c r="Y10" s="244"/>
      <c r="Z10" s="244"/>
      <c r="AA10" s="244"/>
      <c r="AB10" s="244"/>
      <c r="AC10" s="244"/>
      <c r="AD10" s="244"/>
      <c r="AE10" s="244"/>
      <c r="AF10" s="244"/>
      <c r="AG10" s="244"/>
      <c r="AH10" s="244"/>
      <c r="AI10" s="244"/>
      <c r="AJ10" s="244"/>
      <c r="AK10" s="244"/>
      <c r="AL10" s="244"/>
      <c r="AM10" s="244"/>
      <c r="AN10" s="244"/>
      <c r="AO10" s="244"/>
      <c r="AP10" s="244"/>
      <c r="AQ10" s="244"/>
      <c r="AR10" s="244"/>
      <c r="AS10" s="244"/>
      <c r="AT10" s="244"/>
      <c r="AU10" s="244"/>
      <c r="AV10" s="244"/>
      <c r="AW10" s="244"/>
      <c r="AX10" s="244"/>
      <c r="AY10" s="244"/>
    </row>
    <row r="11" spans="1:51" ht="18.75" customHeight="1">
      <c r="A11" s="215">
        <v>2.2000000000000002</v>
      </c>
      <c r="B11" s="217" t="s">
        <v>36</v>
      </c>
      <c r="C11" s="17" t="str">
        <f>"0912-7LEK-B"&amp;A11&amp;"-"&amp;UPPER(LEFT(B11,1))&amp;"BK"</f>
        <v>0912-7LEK-B2.2-PBK</v>
      </c>
      <c r="D11" s="227">
        <v>2</v>
      </c>
      <c r="E11" s="242">
        <f t="shared" ref="E11:E18" si="1">SUM(F11:I11)</f>
        <v>60</v>
      </c>
      <c r="F11" s="228">
        <f>'I rok'!G15+'I rok'!P15</f>
        <v>30</v>
      </c>
      <c r="G11" s="228">
        <f>'I rok'!I15+'I rok'!R15</f>
        <v>0</v>
      </c>
      <c r="H11" s="228">
        <f>'I rok'!K15+'I rok'!T15</f>
        <v>0</v>
      </c>
      <c r="I11" s="228">
        <f>'I rok'!M15+'I rok'!V15</f>
        <v>30</v>
      </c>
      <c r="J11" s="228">
        <f>'I rok'!G15+'I rok'!H15+'I rok'!I15+'I rok'!J15+'I rok'!K15+'I rok'!L15+'I rok'!M15+'I rok'!N15+'I rok'!P15+'I rok'!Q15+'I rok'!R15+'I rok'!S15+'I rok'!T15+'I rok'!U15+'I rok'!V15+'I rok'!W15</f>
        <v>100</v>
      </c>
      <c r="K11" s="228">
        <f>'I rok'!O15+'I rok'!X15</f>
        <v>4</v>
      </c>
      <c r="N11" s="244"/>
      <c r="O11" s="244"/>
      <c r="P11" s="244"/>
      <c r="Q11" s="244"/>
      <c r="R11" s="244"/>
      <c r="S11" s="244"/>
      <c r="T11" s="244"/>
      <c r="U11" s="244"/>
      <c r="V11" s="244"/>
      <c r="W11" s="244"/>
      <c r="X11" s="244"/>
      <c r="Y11" s="244"/>
      <c r="Z11" s="244"/>
      <c r="AA11" s="244"/>
      <c r="AB11" s="244"/>
      <c r="AC11" s="244"/>
      <c r="AD11" s="244"/>
      <c r="AE11" s="244"/>
      <c r="AF11" s="244"/>
      <c r="AG11" s="244"/>
      <c r="AH11" s="244"/>
      <c r="AI11" s="244"/>
      <c r="AJ11" s="244"/>
      <c r="AK11" s="244"/>
      <c r="AL11" s="244"/>
      <c r="AM11" s="244"/>
      <c r="AN11" s="244"/>
      <c r="AO11" s="244"/>
      <c r="AP11" s="244"/>
      <c r="AQ11" s="244"/>
      <c r="AR11" s="244"/>
      <c r="AS11" s="244"/>
      <c r="AT11" s="244"/>
      <c r="AU11" s="244"/>
      <c r="AV11" s="244"/>
      <c r="AW11" s="244"/>
      <c r="AX11" s="244"/>
      <c r="AY11" s="244"/>
    </row>
    <row r="12" spans="1:51" ht="15.75">
      <c r="A12" s="215">
        <v>2.2999999999999998</v>
      </c>
      <c r="B12" s="217" t="s">
        <v>37</v>
      </c>
      <c r="C12" s="17" t="str">
        <f>"0912-7LEK-B"&amp;A12&amp;"-"&amp;UPPER(LEFT(B12,1))</f>
        <v>0912-7LEK-B2.3-C</v>
      </c>
      <c r="D12" s="227">
        <v>1</v>
      </c>
      <c r="E12" s="242">
        <f t="shared" si="1"/>
        <v>35</v>
      </c>
      <c r="F12" s="228">
        <f>'I rok'!G16+'I rok'!P16</f>
        <v>15</v>
      </c>
      <c r="G12" s="228">
        <f>'I rok'!I16+'I rok'!R16</f>
        <v>0</v>
      </c>
      <c r="H12" s="228">
        <f>'I rok'!K16+'I rok'!T16</f>
        <v>0</v>
      </c>
      <c r="I12" s="228">
        <f>'I rok'!M16+'I rok'!V16</f>
        <v>20</v>
      </c>
      <c r="J12" s="228">
        <f>'I rok'!G16+'I rok'!H16+'I rok'!I16+'I rok'!J16+'I rok'!K16+'I rok'!L16+'I rok'!M16+'I rok'!N16+'I rok'!P16+'I rok'!Q16+'I rok'!R16+'I rok'!S16+'I rok'!T16+'I rok'!U16+'I rok'!V16+'I rok'!W16</f>
        <v>75</v>
      </c>
      <c r="K12" s="228">
        <f>'I rok'!O16+'I rok'!X16</f>
        <v>3</v>
      </c>
      <c r="N12" s="244"/>
      <c r="O12" s="244"/>
      <c r="P12" s="244"/>
      <c r="Q12" s="244"/>
      <c r="R12" s="244"/>
      <c r="S12" s="244"/>
      <c r="T12" s="244"/>
      <c r="U12" s="244"/>
      <c r="V12" s="244"/>
      <c r="W12" s="244"/>
      <c r="X12" s="244"/>
      <c r="Y12" s="244"/>
      <c r="Z12" s="244"/>
      <c r="AA12" s="244"/>
      <c r="AB12" s="244"/>
      <c r="AC12" s="244"/>
      <c r="AD12" s="244"/>
      <c r="AE12" s="244"/>
      <c r="AF12" s="244"/>
      <c r="AG12" s="244"/>
      <c r="AH12" s="244"/>
      <c r="AI12" s="244"/>
      <c r="AJ12" s="244"/>
      <c r="AK12" s="244"/>
      <c r="AL12" s="244"/>
      <c r="AM12" s="244"/>
      <c r="AN12" s="244"/>
      <c r="AO12" s="244"/>
      <c r="AP12" s="244"/>
      <c r="AQ12" s="244"/>
      <c r="AR12" s="244"/>
      <c r="AS12" s="244"/>
      <c r="AT12" s="244"/>
      <c r="AU12" s="244"/>
      <c r="AV12" s="244"/>
      <c r="AW12" s="244"/>
      <c r="AX12" s="244"/>
      <c r="AY12" s="244"/>
    </row>
    <row r="13" spans="1:51" ht="18.75" customHeight="1">
      <c r="A13" s="215">
        <v>2.4</v>
      </c>
      <c r="B13" s="233" t="s">
        <v>38</v>
      </c>
      <c r="C13" s="17" t="str">
        <f>"0912-7LEK-B"&amp;A13&amp;"-"&amp;UPPER(LEFT(B13,1))&amp;"ch"</f>
        <v>0912-7LEK-B2.4-Bch</v>
      </c>
      <c r="D13" s="227">
        <v>3</v>
      </c>
      <c r="E13" s="242">
        <f t="shared" si="1"/>
        <v>60</v>
      </c>
      <c r="F13" s="228">
        <f>'II rok'!G12+'II rok'!P12</f>
        <v>30</v>
      </c>
      <c r="G13" s="228">
        <f>'II rok'!AA12</f>
        <v>0</v>
      </c>
      <c r="H13" s="228">
        <f>'II rok'!AB12</f>
        <v>0</v>
      </c>
      <c r="I13" s="228">
        <f>'II rok'!AC12</f>
        <v>30</v>
      </c>
      <c r="J13" s="228">
        <f>'II rok'!AD12</f>
        <v>125</v>
      </c>
      <c r="K13" s="228">
        <f>'II rok'!AE12</f>
        <v>5</v>
      </c>
      <c r="N13" s="244"/>
      <c r="O13" s="244"/>
      <c r="P13" s="244"/>
      <c r="Q13" s="244"/>
      <c r="R13" s="244"/>
      <c r="S13" s="244"/>
      <c r="T13" s="244"/>
      <c r="U13" s="498"/>
      <c r="V13" s="499"/>
      <c r="W13" s="499"/>
      <c r="X13" s="499"/>
      <c r="Y13" s="499"/>
      <c r="Z13" s="499"/>
      <c r="AA13" s="499"/>
      <c r="AB13" s="499"/>
      <c r="AC13" s="499"/>
      <c r="AD13" s="499"/>
      <c r="AE13" s="499"/>
      <c r="AF13" s="499"/>
      <c r="AG13" s="499"/>
      <c r="AH13" s="499"/>
      <c r="AI13" s="499"/>
      <c r="AJ13" s="499"/>
      <c r="AK13" s="499"/>
      <c r="AL13" s="499"/>
      <c r="AM13" s="499"/>
      <c r="AN13" s="499"/>
      <c r="AO13" s="499"/>
      <c r="AP13" s="499"/>
      <c r="AQ13" s="499"/>
      <c r="AR13" s="499"/>
      <c r="AS13" s="499"/>
      <c r="AT13" s="499"/>
      <c r="AU13" s="499"/>
      <c r="AV13" s="499"/>
      <c r="AW13" s="499"/>
      <c r="AX13" s="499"/>
      <c r="AY13" s="499"/>
    </row>
    <row r="14" spans="1:51" ht="18.75" customHeight="1">
      <c r="A14" s="215">
        <v>2.5</v>
      </c>
      <c r="B14" s="217" t="s">
        <v>39</v>
      </c>
      <c r="C14" s="17" t="str">
        <f>"0912-7LEK-B"&amp;A14&amp;"-"&amp;UPPER(LEFT(B14,1))&amp;"zC"</f>
        <v>0912-7LEK-B2.5-FzC</v>
      </c>
      <c r="D14" s="227" t="s">
        <v>251</v>
      </c>
      <c r="E14" s="242">
        <f t="shared" si="1"/>
        <v>160</v>
      </c>
      <c r="F14" s="228">
        <f>'II rok'!G13+'II rok'!P13</f>
        <v>50</v>
      </c>
      <c r="G14" s="228">
        <f>'II rok'!I13+'II rok'!R13</f>
        <v>50</v>
      </c>
      <c r="H14" s="228">
        <f>'II rok'!K13+'II rok'!T13</f>
        <v>0</v>
      </c>
      <c r="I14" s="228">
        <f>'II rok'!M13+'II rok'!V13</f>
        <v>60</v>
      </c>
      <c r="J14" s="228">
        <f>'II rok'!G13+'II rok'!H13+'II rok'!I13+'II rok'!J13+'II rok'!K13+'II rok'!L13+'II rok'!M13+'II rok'!N13+'II rok'!P13+'II rok'!Q13+'II rok'!R13+'II rok'!S13+'II rok'!T13+'II rok'!U13+'II rok'!V13+'II rok'!W13</f>
        <v>350</v>
      </c>
      <c r="K14" s="228">
        <f>'II rok'!O13+'II rok'!X13</f>
        <v>14</v>
      </c>
      <c r="N14" s="244"/>
      <c r="O14" s="244"/>
      <c r="P14" s="244"/>
      <c r="Q14" s="244"/>
      <c r="R14" s="244"/>
      <c r="S14" s="244"/>
      <c r="T14" s="244"/>
      <c r="U14" s="509"/>
      <c r="V14" s="509"/>
      <c r="W14" s="144"/>
      <c r="X14" s="448"/>
      <c r="Y14" s="132"/>
      <c r="Z14" s="132"/>
      <c r="AA14" s="132"/>
      <c r="AB14" s="511"/>
      <c r="AC14" s="511"/>
      <c r="AD14" s="511"/>
      <c r="AE14" s="511"/>
      <c r="AF14" s="511"/>
      <c r="AG14" s="511"/>
      <c r="AH14" s="511"/>
      <c r="AI14" s="511"/>
      <c r="AJ14" s="511"/>
      <c r="AK14" s="131"/>
      <c r="AL14" s="131"/>
      <c r="AM14" s="131"/>
      <c r="AN14" s="131"/>
      <c r="AO14" s="131"/>
      <c r="AP14" s="131"/>
      <c r="AQ14" s="131"/>
      <c r="AR14" s="131"/>
      <c r="AS14" s="131"/>
      <c r="AT14" s="131"/>
      <c r="AU14" s="131"/>
      <c r="AV14" s="131"/>
      <c r="AW14" s="131"/>
      <c r="AX14" s="131"/>
      <c r="AY14" s="131"/>
    </row>
    <row r="15" spans="1:51" ht="23.25">
      <c r="A15" s="215">
        <v>2.6</v>
      </c>
      <c r="B15" s="217" t="s">
        <v>40</v>
      </c>
      <c r="C15" s="17" t="str">
        <f>"0912-7LEK-B"&amp;A15&amp;"-"&amp;UPPER(LEFT(B15,1))&amp;""</f>
        <v>0912-7LEK-B2.6-P</v>
      </c>
      <c r="D15" s="227" t="s">
        <v>252</v>
      </c>
      <c r="E15" s="242">
        <f t="shared" si="1"/>
        <v>105</v>
      </c>
      <c r="F15" s="228">
        <f>'III rok'!G11+'III rok'!P11</f>
        <v>45</v>
      </c>
      <c r="G15" s="228">
        <f>'III rok'!AA11</f>
        <v>60</v>
      </c>
      <c r="H15" s="228">
        <f>'III rok'!AB11</f>
        <v>0</v>
      </c>
      <c r="I15" s="228">
        <f>'III rok'!AC11</f>
        <v>0</v>
      </c>
      <c r="J15" s="228">
        <f>'III rok'!AD11</f>
        <v>175</v>
      </c>
      <c r="K15" s="228">
        <f>'III rok'!AE11</f>
        <v>7</v>
      </c>
      <c r="N15" s="244"/>
      <c r="O15" s="244"/>
      <c r="P15" s="244"/>
      <c r="Q15" s="244"/>
      <c r="R15" s="244"/>
      <c r="S15" s="244"/>
      <c r="T15" s="244"/>
      <c r="U15" s="510"/>
      <c r="V15" s="510"/>
      <c r="W15" s="145"/>
      <c r="X15" s="131"/>
      <c r="Y15" s="131"/>
      <c r="Z15" s="131"/>
      <c r="AA15" s="131"/>
      <c r="AB15" s="131"/>
      <c r="AC15" s="131"/>
      <c r="AD15" s="131"/>
      <c r="AE15" s="131"/>
      <c r="AF15" s="131"/>
      <c r="AG15" s="131"/>
      <c r="AH15" s="131"/>
      <c r="AI15" s="131"/>
      <c r="AJ15" s="131"/>
      <c r="AK15" s="131"/>
      <c r="AL15" s="131"/>
      <c r="AM15" s="131"/>
      <c r="AN15" s="131"/>
      <c r="AO15" s="131"/>
      <c r="AP15" s="131"/>
      <c r="AQ15" s="131"/>
      <c r="AR15" s="131"/>
      <c r="AS15" s="131"/>
      <c r="AT15" s="131"/>
      <c r="AU15" s="131"/>
      <c r="AV15" s="131"/>
      <c r="AW15" s="131"/>
      <c r="AX15" s="131"/>
      <c r="AY15" s="131"/>
    </row>
    <row r="16" spans="1:51" ht="18.75" customHeight="1">
      <c r="A16" s="215">
        <v>2.7</v>
      </c>
      <c r="B16" s="217" t="s">
        <v>93</v>
      </c>
      <c r="C16" s="17" t="str">
        <f>"0912-7LEK-B"&amp;A16&amp;"-"&amp;UPPER(LEFT(B16,1))&amp;"zI"</f>
        <v>0912-7LEK-B2.7-BzI</v>
      </c>
      <c r="D16" s="227" t="s">
        <v>240</v>
      </c>
      <c r="E16" s="242">
        <f t="shared" si="1"/>
        <v>80</v>
      </c>
      <c r="F16" s="228">
        <f>'I rok'!Z17</f>
        <v>30</v>
      </c>
      <c r="G16" s="228">
        <f>'I rok'!AA17</f>
        <v>50</v>
      </c>
      <c r="H16" s="228">
        <f>'I rok'!AB17</f>
        <v>0</v>
      </c>
      <c r="I16" s="228">
        <v>0</v>
      </c>
      <c r="J16" s="228">
        <f>'I rok'!AD17</f>
        <v>125</v>
      </c>
      <c r="K16" s="228">
        <f>'I rok'!AE17</f>
        <v>5</v>
      </c>
      <c r="N16" s="244"/>
      <c r="O16" s="244"/>
      <c r="P16" s="244"/>
      <c r="Q16" s="244"/>
      <c r="R16" s="244"/>
      <c r="S16" s="244"/>
      <c r="T16" s="244"/>
      <c r="U16" s="244"/>
      <c r="V16" s="244"/>
      <c r="W16" s="244"/>
      <c r="X16" s="244"/>
      <c r="Y16" s="244"/>
      <c r="Z16" s="244"/>
      <c r="AA16" s="244"/>
      <c r="AB16" s="244"/>
      <c r="AC16" s="244"/>
      <c r="AD16" s="244"/>
      <c r="AE16" s="244"/>
      <c r="AF16" s="244"/>
      <c r="AG16" s="244"/>
      <c r="AH16" s="244"/>
      <c r="AI16" s="244"/>
      <c r="AJ16" s="244"/>
      <c r="AK16" s="244"/>
      <c r="AL16" s="244"/>
      <c r="AM16" s="244"/>
      <c r="AN16" s="244"/>
      <c r="AO16" s="244"/>
      <c r="AP16" s="244"/>
      <c r="AQ16" s="244"/>
      <c r="AR16" s="244"/>
      <c r="AS16" s="244"/>
      <c r="AT16" s="244"/>
      <c r="AU16" s="244"/>
      <c r="AV16" s="244"/>
      <c r="AW16" s="244"/>
      <c r="AX16" s="244"/>
      <c r="AY16" s="244"/>
    </row>
    <row r="17" spans="1:52" ht="18.75" customHeight="1">
      <c r="A17" s="366">
        <v>2.8</v>
      </c>
      <c r="B17" s="367" t="s">
        <v>91</v>
      </c>
      <c r="C17" s="368" t="str">
        <f>"0912-7LEK-B"&amp;A17&amp;"-"&amp;UPPER(LEFT(B17,1))&amp;"P"</f>
        <v>0912-7LEK-B2.8-PP</v>
      </c>
      <c r="D17" s="238">
        <v>2</v>
      </c>
      <c r="E17" s="242">
        <f t="shared" si="1"/>
        <v>35</v>
      </c>
      <c r="F17" s="364">
        <f>'I rok'!Z18</f>
        <v>0</v>
      </c>
      <c r="G17" s="364">
        <f>'I rok'!AA18</f>
        <v>15</v>
      </c>
      <c r="H17" s="364">
        <f>'I rok'!AB18</f>
        <v>20</v>
      </c>
      <c r="I17" s="364">
        <f>'I rok'!AC18</f>
        <v>0</v>
      </c>
      <c r="J17" s="364">
        <f>'I rok'!AD18</f>
        <v>50</v>
      </c>
      <c r="K17" s="364">
        <f>'I rok'!AE18</f>
        <v>2</v>
      </c>
      <c r="N17" s="244"/>
      <c r="O17" s="244"/>
      <c r="P17" s="244"/>
      <c r="Q17" s="244"/>
      <c r="R17" s="244"/>
      <c r="S17" s="244"/>
      <c r="T17" s="244"/>
      <c r="U17" s="244"/>
      <c r="V17" s="244"/>
      <c r="W17" s="244"/>
      <c r="X17" s="244"/>
      <c r="Y17" s="244"/>
      <c r="Z17" s="244"/>
      <c r="AA17" s="244"/>
      <c r="AB17" s="244"/>
      <c r="AC17" s="244"/>
      <c r="AD17" s="244"/>
      <c r="AE17" s="244"/>
      <c r="AF17" s="244"/>
      <c r="AG17" s="244"/>
      <c r="AH17" s="244"/>
      <c r="AI17" s="244"/>
      <c r="AJ17" s="244"/>
      <c r="AK17" s="244"/>
      <c r="AL17" s="244"/>
      <c r="AM17" s="244"/>
      <c r="AN17" s="244"/>
      <c r="AO17" s="244"/>
      <c r="AP17" s="244"/>
      <c r="AQ17" s="244"/>
      <c r="AR17" s="244"/>
      <c r="AS17" s="244"/>
      <c r="AT17" s="244"/>
      <c r="AU17" s="244"/>
      <c r="AV17" s="244"/>
      <c r="AW17" s="244"/>
      <c r="AX17" s="244"/>
      <c r="AY17" s="244"/>
    </row>
    <row r="18" spans="1:52" s="371" customFormat="1" ht="27" customHeight="1">
      <c r="A18" s="436">
        <v>2.9</v>
      </c>
      <c r="B18" s="437" t="s">
        <v>315</v>
      </c>
      <c r="C18" s="438" t="str">
        <f>"0912-7LEK-B"&amp;A18&amp;"-"&amp;UPPER(LEFT(B18,1))&amp;"P"</f>
        <v>0912-7LEK-B2.9-MP</v>
      </c>
      <c r="D18" s="439" t="s">
        <v>130</v>
      </c>
      <c r="E18" s="440">
        <f t="shared" si="1"/>
        <v>15</v>
      </c>
      <c r="F18" s="441">
        <f>'V rok'!Z11</f>
        <v>5</v>
      </c>
      <c r="G18" s="441">
        <f>'V rok'!AA11</f>
        <v>10</v>
      </c>
      <c r="H18" s="441">
        <f>'V rok'!AB11</f>
        <v>0</v>
      </c>
      <c r="I18" s="441">
        <f>'V rok'!AC11</f>
        <v>0</v>
      </c>
      <c r="J18" s="441">
        <f>'V rok'!AD11</f>
        <v>25</v>
      </c>
      <c r="K18" s="441">
        <f>'V rok'!AE11</f>
        <v>1</v>
      </c>
      <c r="L18" s="380"/>
      <c r="M18" s="380"/>
      <c r="N18" s="380"/>
      <c r="O18" s="380"/>
      <c r="P18" s="380"/>
      <c r="Q18" s="380"/>
      <c r="R18" s="380"/>
      <c r="S18" s="380"/>
      <c r="T18" s="380"/>
      <c r="U18" s="380"/>
      <c r="V18" s="380"/>
      <c r="W18" s="380"/>
      <c r="X18" s="380"/>
      <c r="Y18" s="380"/>
      <c r="Z18" s="380"/>
      <c r="AA18" s="380"/>
      <c r="AB18" s="380"/>
      <c r="AC18" s="380"/>
      <c r="AD18" s="380"/>
      <c r="AE18" s="380"/>
      <c r="AF18" s="380"/>
      <c r="AG18" s="380"/>
      <c r="AH18" s="380"/>
      <c r="AI18" s="380"/>
      <c r="AJ18" s="380"/>
      <c r="AK18" s="380"/>
      <c r="AL18" s="380"/>
      <c r="AM18" s="380"/>
      <c r="AN18" s="380"/>
      <c r="AO18" s="380"/>
      <c r="AP18" s="380"/>
      <c r="AQ18" s="380"/>
      <c r="AR18" s="380"/>
      <c r="AS18" s="380"/>
      <c r="AT18" s="380"/>
      <c r="AU18" s="380"/>
      <c r="AV18" s="380"/>
      <c r="AW18" s="380"/>
      <c r="AX18" s="380"/>
      <c r="AY18" s="380"/>
      <c r="AZ18" s="379"/>
    </row>
    <row r="19" spans="1:52">
      <c r="A19" s="598" t="s">
        <v>9</v>
      </c>
      <c r="B19" s="599"/>
      <c r="C19" s="599"/>
      <c r="D19" s="600"/>
      <c r="E19" s="369">
        <f t="shared" ref="E19:K19" si="2">SUM(E10:E18)</f>
        <v>600</v>
      </c>
      <c r="F19" s="369">
        <f t="shared" si="2"/>
        <v>225</v>
      </c>
      <c r="G19" s="369">
        <f t="shared" si="2"/>
        <v>200</v>
      </c>
      <c r="H19" s="369">
        <f t="shared" si="2"/>
        <v>20</v>
      </c>
      <c r="I19" s="369">
        <f t="shared" si="2"/>
        <v>155</v>
      </c>
      <c r="J19" s="369">
        <f t="shared" si="2"/>
        <v>1100</v>
      </c>
      <c r="K19" s="369">
        <f t="shared" si="2"/>
        <v>44</v>
      </c>
      <c r="N19" s="244"/>
      <c r="O19" s="244"/>
      <c r="P19" s="244"/>
      <c r="Q19" s="244"/>
      <c r="R19" s="244"/>
      <c r="S19" s="244"/>
      <c r="T19" s="244"/>
      <c r="U19" s="244"/>
      <c r="V19" s="244"/>
      <c r="W19" s="244"/>
      <c r="X19" s="244"/>
      <c r="Y19" s="244"/>
      <c r="Z19" s="244"/>
      <c r="AA19" s="244"/>
      <c r="AB19" s="244"/>
      <c r="AC19" s="244"/>
      <c r="AD19" s="244"/>
      <c r="AE19" s="244"/>
      <c r="AF19" s="244"/>
      <c r="AG19" s="244"/>
      <c r="AH19" s="244"/>
      <c r="AI19" s="244"/>
      <c r="AJ19" s="244"/>
      <c r="AK19" s="244"/>
      <c r="AL19" s="244"/>
      <c r="AM19" s="244"/>
      <c r="AN19" s="244"/>
      <c r="AO19" s="244"/>
      <c r="AP19" s="244"/>
      <c r="AQ19" s="244"/>
      <c r="AR19" s="244"/>
      <c r="AS19" s="244"/>
      <c r="AT19" s="244"/>
      <c r="AU19" s="244"/>
      <c r="AV19" s="244"/>
      <c r="AW19" s="244"/>
      <c r="AX19" s="244"/>
      <c r="AY19" s="244"/>
    </row>
    <row r="20" spans="1:52">
      <c r="A20" s="585" t="s">
        <v>24</v>
      </c>
      <c r="B20" s="586"/>
      <c r="C20" s="586"/>
      <c r="D20" s="586"/>
      <c r="E20" s="586"/>
      <c r="F20" s="586"/>
      <c r="G20" s="586"/>
      <c r="H20" s="586"/>
      <c r="I20" s="586"/>
      <c r="J20" s="586"/>
      <c r="K20" s="587"/>
      <c r="N20" s="244"/>
      <c r="O20" s="244"/>
      <c r="P20" s="244"/>
      <c r="Q20" s="244"/>
      <c r="R20" s="244"/>
      <c r="S20" s="244"/>
      <c r="T20" s="244"/>
      <c r="U20" s="244"/>
      <c r="V20" s="244"/>
      <c r="W20" s="244"/>
      <c r="X20" s="244"/>
      <c r="Y20" s="244"/>
      <c r="Z20" s="244"/>
      <c r="AA20" s="244"/>
      <c r="AB20" s="244"/>
      <c r="AC20" s="244"/>
      <c r="AD20" s="244"/>
      <c r="AE20" s="244"/>
      <c r="AF20" s="244"/>
      <c r="AG20" s="244"/>
      <c r="AH20" s="244"/>
      <c r="AI20" s="244"/>
      <c r="AJ20" s="244"/>
      <c r="AK20" s="244"/>
      <c r="AL20" s="244"/>
      <c r="AM20" s="244"/>
      <c r="AN20" s="244"/>
      <c r="AO20" s="244"/>
      <c r="AP20" s="244"/>
      <c r="AQ20" s="244"/>
      <c r="AR20" s="244"/>
      <c r="AS20" s="244"/>
      <c r="AT20" s="244"/>
      <c r="AU20" s="244"/>
      <c r="AV20" s="244"/>
      <c r="AW20" s="244"/>
      <c r="AX20" s="244"/>
      <c r="AY20" s="244"/>
    </row>
    <row r="21" spans="1:52" ht="15.75">
      <c r="A21" s="216">
        <v>3.1</v>
      </c>
      <c r="B21" s="240" t="s">
        <v>41</v>
      </c>
      <c r="C21" s="203" t="str">
        <f>"0912-7LEK-C"&amp;A21&amp;"-"&amp;UPPER(LEFT(B21,1))</f>
        <v>0912-7LEK-C3.1-G</v>
      </c>
      <c r="D21" s="241">
        <v>3</v>
      </c>
      <c r="E21" s="242">
        <f>SUM(F21:I21)</f>
        <v>45</v>
      </c>
      <c r="F21" s="242">
        <v>15</v>
      </c>
      <c r="G21" s="242">
        <v>30</v>
      </c>
      <c r="H21" s="242">
        <v>0</v>
      </c>
      <c r="I21" s="242">
        <v>0</v>
      </c>
      <c r="J21" s="242">
        <v>100</v>
      </c>
      <c r="K21" s="242">
        <v>4</v>
      </c>
      <c r="N21" s="244"/>
      <c r="O21" s="244"/>
      <c r="P21" s="244"/>
      <c r="Q21" s="244"/>
      <c r="R21" s="244"/>
      <c r="S21" s="244"/>
      <c r="T21" s="244"/>
      <c r="U21" s="244"/>
      <c r="V21" s="244"/>
      <c r="W21" s="244"/>
      <c r="X21" s="244"/>
      <c r="Y21" s="244"/>
      <c r="Z21" s="244"/>
      <c r="AA21" s="244"/>
      <c r="AB21" s="244"/>
      <c r="AC21" s="244"/>
      <c r="AD21" s="244"/>
      <c r="AE21" s="244"/>
      <c r="AF21" s="244"/>
      <c r="AG21" s="244"/>
      <c r="AH21" s="244"/>
      <c r="AI21" s="244"/>
      <c r="AJ21" s="244"/>
      <c r="AK21" s="244"/>
      <c r="AL21" s="244"/>
      <c r="AM21" s="244"/>
      <c r="AN21" s="244"/>
      <c r="AO21" s="244"/>
      <c r="AP21" s="244"/>
      <c r="AQ21" s="244"/>
      <c r="AR21" s="244"/>
      <c r="AS21" s="244"/>
      <c r="AT21" s="244"/>
      <c r="AU21" s="244"/>
      <c r="AV21" s="244"/>
      <c r="AW21" s="244"/>
      <c r="AX21" s="244"/>
      <c r="AY21" s="244"/>
    </row>
    <row r="22" spans="1:52" ht="15" customHeight="1">
      <c r="A22" s="215">
        <v>3.2</v>
      </c>
      <c r="B22" s="217" t="s">
        <v>42</v>
      </c>
      <c r="C22" s="17" t="str">
        <f t="shared" ref="C22:C26" si="3">"0912-7LEK-C"&amp;A22&amp;"-"&amp;UPPER(LEFT(B22,1))</f>
        <v>0912-7LEK-C3.2-M</v>
      </c>
      <c r="D22" s="227" t="s">
        <v>251</v>
      </c>
      <c r="E22" s="242">
        <f t="shared" ref="E22:E26" si="4">SUM(F22:I22)</f>
        <v>100</v>
      </c>
      <c r="F22" s="228">
        <v>20</v>
      </c>
      <c r="G22" s="228">
        <v>40</v>
      </c>
      <c r="H22" s="228">
        <v>0</v>
      </c>
      <c r="I22" s="228">
        <v>40</v>
      </c>
      <c r="J22" s="228">
        <v>200</v>
      </c>
      <c r="K22" s="228">
        <v>8</v>
      </c>
      <c r="N22" s="244"/>
      <c r="O22" s="244"/>
      <c r="P22" s="244"/>
      <c r="Q22" s="244"/>
      <c r="R22" s="244"/>
      <c r="S22" s="244"/>
      <c r="T22" s="244"/>
      <c r="U22" s="244"/>
      <c r="V22" s="244"/>
      <c r="W22" s="244"/>
      <c r="X22" s="244"/>
      <c r="Y22" s="244"/>
      <c r="Z22" s="244"/>
      <c r="AA22" s="244"/>
      <c r="AB22" s="244"/>
      <c r="AC22" s="244"/>
      <c r="AD22" s="244"/>
      <c r="AE22" s="244"/>
      <c r="AF22" s="244"/>
      <c r="AG22" s="244"/>
      <c r="AH22" s="244"/>
      <c r="AI22" s="244"/>
      <c r="AJ22" s="244"/>
      <c r="AK22" s="244"/>
      <c r="AL22" s="244"/>
      <c r="AM22" s="244"/>
      <c r="AN22" s="244"/>
      <c r="AO22" s="244"/>
      <c r="AP22" s="244"/>
      <c r="AQ22" s="244"/>
      <c r="AR22" s="244"/>
      <c r="AS22" s="244"/>
      <c r="AT22" s="244"/>
      <c r="AU22" s="244"/>
      <c r="AV22" s="244"/>
      <c r="AW22" s="244"/>
      <c r="AX22" s="244"/>
      <c r="AY22" s="244"/>
    </row>
    <row r="23" spans="1:52" ht="15.75">
      <c r="A23" s="215">
        <v>3.3</v>
      </c>
      <c r="B23" s="217" t="s">
        <v>43</v>
      </c>
      <c r="C23" s="17" t="str">
        <f t="shared" si="3"/>
        <v>0912-7LEK-C3.3-P</v>
      </c>
      <c r="D23" s="227">
        <v>4</v>
      </c>
      <c r="E23" s="242">
        <f t="shared" si="4"/>
        <v>45</v>
      </c>
      <c r="F23" s="228">
        <f>'II rok'!G18+'II rok'!P18</f>
        <v>15</v>
      </c>
      <c r="G23" s="228">
        <f>'II rok'!I18+'II rok'!R18</f>
        <v>15</v>
      </c>
      <c r="H23" s="228">
        <f>'II rok'!K18+'II rok'!T18</f>
        <v>0</v>
      </c>
      <c r="I23" s="228">
        <v>15</v>
      </c>
      <c r="J23" s="228">
        <f>'II rok'!G18+'II rok'!H18+'II rok'!I18+'II rok'!J18+'II rok'!K18+'II rok'!L18+'II rok'!M18+'II rok'!N18+'II rok'!P18+'II rok'!Q18+'II rok'!R18+'II rok'!S18+'II rok'!T18+'II rok'!U18+'II rok'!V18+'II rok'!W18</f>
        <v>75</v>
      </c>
      <c r="K23" s="228">
        <f>'II rok'!O18+'II rok'!X18</f>
        <v>3</v>
      </c>
      <c r="N23" s="244"/>
      <c r="O23" s="244"/>
      <c r="P23" s="244"/>
      <c r="Q23" s="244"/>
      <c r="R23" s="244"/>
      <c r="S23" s="244"/>
      <c r="T23" s="244"/>
      <c r="U23" s="244"/>
      <c r="V23" s="244"/>
      <c r="W23" s="244"/>
      <c r="X23" s="244"/>
      <c r="Y23" s="244"/>
      <c r="Z23" s="244"/>
      <c r="AA23" s="244"/>
      <c r="AB23" s="244"/>
      <c r="AC23" s="244"/>
      <c r="AD23" s="244"/>
      <c r="AE23" s="244"/>
      <c r="AF23" s="244"/>
      <c r="AG23" s="244"/>
      <c r="AH23" s="244"/>
      <c r="AI23" s="244"/>
      <c r="AJ23" s="244"/>
      <c r="AK23" s="244"/>
      <c r="AL23" s="244"/>
      <c r="AM23" s="244"/>
      <c r="AN23" s="244"/>
      <c r="AO23" s="244"/>
      <c r="AP23" s="244"/>
      <c r="AQ23" s="244"/>
      <c r="AR23" s="244"/>
      <c r="AS23" s="244"/>
      <c r="AT23" s="244"/>
      <c r="AU23" s="244"/>
      <c r="AV23" s="244"/>
      <c r="AW23" s="244"/>
      <c r="AX23" s="244"/>
      <c r="AY23" s="244"/>
    </row>
    <row r="24" spans="1:52" ht="15.75">
      <c r="A24" s="215">
        <v>3.4</v>
      </c>
      <c r="B24" s="217" t="s">
        <v>44</v>
      </c>
      <c r="C24" s="17" t="str">
        <f t="shared" si="3"/>
        <v>0912-7LEK-C3.4-I</v>
      </c>
      <c r="D24" s="227" t="s">
        <v>243</v>
      </c>
      <c r="E24" s="242">
        <f t="shared" si="4"/>
        <v>45</v>
      </c>
      <c r="F24" s="228">
        <f>'II rok'!G19+'II rok'!P19</f>
        <v>15</v>
      </c>
      <c r="G24" s="228">
        <f>'II rok'!I19+'II rok'!R19</f>
        <v>10</v>
      </c>
      <c r="H24" s="228">
        <f>'II rok'!K19+'II rok'!T19</f>
        <v>0</v>
      </c>
      <c r="I24" s="228">
        <f>'II rok'!M19+'II rok'!V19</f>
        <v>20</v>
      </c>
      <c r="J24" s="228">
        <f>'II rok'!G19+'II rok'!H19+'II rok'!I19+'II rok'!J19+'II rok'!K19+'II rok'!L19+'II rok'!M19+'II rok'!N19+'II rok'!P19+'II rok'!Q19+'II rok'!R19+'II rok'!S19+'II rok'!T19+'II rok'!U19+'II rok'!V19+'II rok'!W19</f>
        <v>75</v>
      </c>
      <c r="K24" s="228">
        <f>'II rok'!O19+'II rok'!X19</f>
        <v>3</v>
      </c>
      <c r="N24" s="244"/>
      <c r="O24" s="244"/>
      <c r="P24" s="244"/>
      <c r="Q24" s="244"/>
      <c r="R24" s="244"/>
      <c r="S24" s="244"/>
      <c r="T24" s="244"/>
      <c r="U24" s="244"/>
      <c r="V24" s="244"/>
      <c r="W24" s="244"/>
      <c r="X24" s="244"/>
      <c r="Y24" s="244"/>
      <c r="Z24" s="244"/>
      <c r="AA24" s="244"/>
      <c r="AB24" s="244"/>
      <c r="AC24" s="244"/>
      <c r="AD24" s="244"/>
      <c r="AE24" s="244"/>
      <c r="AF24" s="244"/>
      <c r="AG24" s="244"/>
      <c r="AH24" s="244"/>
      <c r="AI24" s="244"/>
      <c r="AJ24" s="244"/>
      <c r="AK24" s="244"/>
      <c r="AL24" s="244"/>
      <c r="AM24" s="244"/>
      <c r="AN24" s="244"/>
      <c r="AO24" s="244"/>
      <c r="AP24" s="244"/>
      <c r="AQ24" s="244"/>
      <c r="AR24" s="244"/>
      <c r="AS24" s="244"/>
      <c r="AT24" s="244"/>
      <c r="AU24" s="244"/>
      <c r="AV24" s="244"/>
      <c r="AW24" s="244"/>
      <c r="AX24" s="244"/>
      <c r="AY24" s="244"/>
    </row>
    <row r="25" spans="1:52" ht="15.75">
      <c r="A25" s="215">
        <v>3.5</v>
      </c>
      <c r="B25" s="217" t="s">
        <v>45</v>
      </c>
      <c r="C25" s="17" t="str">
        <f t="shared" si="3"/>
        <v>0912-7LEK-C3.5-P</v>
      </c>
      <c r="D25" s="227" t="s">
        <v>252</v>
      </c>
      <c r="E25" s="242">
        <f t="shared" si="4"/>
        <v>150</v>
      </c>
      <c r="F25" s="228">
        <f>'III rok'!G14+'III rok'!P14</f>
        <v>50</v>
      </c>
      <c r="G25" s="228">
        <f>'III rok'!I14+'III rok'!R14</f>
        <v>100</v>
      </c>
      <c r="H25" s="228">
        <f>'III rok'!K14+'III rok'!T14</f>
        <v>0</v>
      </c>
      <c r="I25" s="228">
        <f>'III rok'!M14+'III rok'!V14</f>
        <v>0</v>
      </c>
      <c r="J25" s="228">
        <f>'III rok'!G14+'III rok'!H14+'III rok'!I14+'III rok'!J14+'III rok'!K14+'III rok'!L14+'III rok'!M14+'III rok'!N14+'III rok'!P14+'III rok'!Q14+'III rok'!R14+'III rok'!S14+'III rok'!T14+'III rok'!U14+'III rok'!V14+'III rok'!W14</f>
        <v>325</v>
      </c>
      <c r="K25" s="228">
        <f>'III rok'!O14+'III rok'!X14</f>
        <v>13</v>
      </c>
      <c r="N25" s="244"/>
      <c r="O25" s="244"/>
      <c r="P25" s="244"/>
      <c r="Q25" s="244"/>
      <c r="R25" s="244"/>
      <c r="S25" s="244"/>
      <c r="T25" s="244"/>
      <c r="U25" s="244"/>
      <c r="V25" s="244"/>
      <c r="W25" s="244"/>
      <c r="X25" s="244"/>
      <c r="Y25" s="244"/>
      <c r="Z25" s="244"/>
      <c r="AA25" s="244"/>
      <c r="AB25" s="244"/>
      <c r="AC25" s="244"/>
      <c r="AD25" s="244"/>
      <c r="AE25" s="244"/>
      <c r="AF25" s="244"/>
      <c r="AG25" s="244"/>
      <c r="AH25" s="244"/>
      <c r="AI25" s="244"/>
      <c r="AJ25" s="244"/>
      <c r="AK25" s="244"/>
      <c r="AL25" s="244"/>
      <c r="AM25" s="244"/>
      <c r="AN25" s="244"/>
      <c r="AO25" s="244"/>
      <c r="AP25" s="244"/>
      <c r="AQ25" s="244"/>
      <c r="AR25" s="244"/>
      <c r="AS25" s="244"/>
      <c r="AT25" s="244"/>
      <c r="AU25" s="244"/>
      <c r="AV25" s="244"/>
      <c r="AW25" s="244"/>
      <c r="AX25" s="244"/>
      <c r="AY25" s="244"/>
    </row>
    <row r="26" spans="1:52" ht="15.75">
      <c r="A26" s="215">
        <v>3.6</v>
      </c>
      <c r="B26" s="217" t="s">
        <v>46</v>
      </c>
      <c r="C26" s="17" t="str">
        <f t="shared" si="3"/>
        <v>0912-7LEK-C3.6-F</v>
      </c>
      <c r="D26" s="227" t="s">
        <v>252</v>
      </c>
      <c r="E26" s="242">
        <f t="shared" si="4"/>
        <v>140</v>
      </c>
      <c r="F26" s="228">
        <f>'III rok'!G15+'III rok'!P15</f>
        <v>50</v>
      </c>
      <c r="G26" s="228">
        <f>'III rok'!I15+'III rok'!R15</f>
        <v>90</v>
      </c>
      <c r="H26" s="228">
        <f>'III rok'!K15+'III rok'!T15</f>
        <v>0</v>
      </c>
      <c r="I26" s="228">
        <f>'III rok'!M15+'III rok'!V15</f>
        <v>0</v>
      </c>
      <c r="J26" s="228">
        <f>'III rok'!G15+'III rok'!H15+'III rok'!I15+'III rok'!J15+'III rok'!K15+'III rok'!L15+'III rok'!M15+'III rok'!N15+'III rok'!P15+'III rok'!Q15+'III rok'!R15+'III rok'!S15+'III rok'!T15+'III rok'!U15+'III rok'!V15+'III rok'!W15</f>
        <v>300</v>
      </c>
      <c r="K26" s="228">
        <f>'III rok'!O15+'III rok'!X15</f>
        <v>12</v>
      </c>
      <c r="N26" s="244"/>
      <c r="O26" s="244"/>
      <c r="P26" s="244"/>
      <c r="Q26" s="244"/>
      <c r="R26" s="244"/>
      <c r="S26" s="244"/>
      <c r="T26" s="244"/>
      <c r="U26" s="244"/>
      <c r="V26" s="244"/>
      <c r="W26" s="244"/>
      <c r="X26" s="244"/>
      <c r="Y26" s="244"/>
      <c r="Z26" s="244"/>
      <c r="AA26" s="244"/>
      <c r="AB26" s="244"/>
      <c r="AC26" s="244"/>
      <c r="AD26" s="244"/>
      <c r="AE26" s="244"/>
      <c r="AF26" s="244"/>
      <c r="AG26" s="244"/>
      <c r="AH26" s="244"/>
      <c r="AI26" s="244"/>
      <c r="AJ26" s="244"/>
      <c r="AK26" s="244"/>
      <c r="AL26" s="244"/>
      <c r="AM26" s="244"/>
      <c r="AN26" s="244"/>
      <c r="AO26" s="244"/>
      <c r="AP26" s="244"/>
      <c r="AQ26" s="244"/>
      <c r="AR26" s="244"/>
      <c r="AS26" s="244"/>
      <c r="AT26" s="244"/>
      <c r="AU26" s="244"/>
      <c r="AV26" s="244"/>
      <c r="AW26" s="244"/>
      <c r="AX26" s="244"/>
      <c r="AY26" s="244"/>
    </row>
    <row r="27" spans="1:52">
      <c r="A27" s="592" t="s">
        <v>9</v>
      </c>
      <c r="B27" s="593"/>
      <c r="C27" s="593"/>
      <c r="D27" s="594"/>
      <c r="E27" s="239">
        <f t="shared" ref="E27:K27" si="5">SUM(E21:E26)</f>
        <v>525</v>
      </c>
      <c r="F27" s="239">
        <f t="shared" si="5"/>
        <v>165</v>
      </c>
      <c r="G27" s="239">
        <f t="shared" si="5"/>
        <v>285</v>
      </c>
      <c r="H27" s="239">
        <f t="shared" si="5"/>
        <v>0</v>
      </c>
      <c r="I27" s="239">
        <f t="shared" si="5"/>
        <v>75</v>
      </c>
      <c r="J27" s="239">
        <f t="shared" si="5"/>
        <v>1075</v>
      </c>
      <c r="K27" s="239">
        <f t="shared" si="5"/>
        <v>43</v>
      </c>
      <c r="N27" s="244"/>
      <c r="O27" s="244"/>
      <c r="P27" s="244"/>
      <c r="Q27" s="244"/>
      <c r="R27" s="244"/>
      <c r="S27" s="244"/>
      <c r="T27" s="244"/>
      <c r="U27" s="244"/>
      <c r="V27" s="244"/>
      <c r="W27" s="244"/>
      <c r="X27" s="244"/>
      <c r="Y27" s="244"/>
      <c r="Z27" s="244"/>
      <c r="AA27" s="244"/>
      <c r="AB27" s="244"/>
      <c r="AC27" s="244"/>
      <c r="AD27" s="244"/>
      <c r="AE27" s="244"/>
      <c r="AF27" s="244"/>
      <c r="AG27" s="244"/>
      <c r="AH27" s="244"/>
      <c r="AI27" s="244"/>
      <c r="AJ27" s="244"/>
      <c r="AK27" s="244"/>
      <c r="AL27" s="244"/>
      <c r="AM27" s="244"/>
      <c r="AN27" s="244"/>
      <c r="AO27" s="244"/>
      <c r="AP27" s="244"/>
      <c r="AQ27" s="244"/>
      <c r="AR27" s="244"/>
      <c r="AS27" s="244"/>
      <c r="AT27" s="244"/>
      <c r="AU27" s="244"/>
      <c r="AV27" s="244"/>
      <c r="AW27" s="244"/>
      <c r="AX27" s="244"/>
      <c r="AY27" s="244"/>
    </row>
    <row r="28" spans="1:52">
      <c r="A28" s="585" t="s">
        <v>34</v>
      </c>
      <c r="B28" s="586"/>
      <c r="C28" s="586"/>
      <c r="D28" s="586"/>
      <c r="E28" s="586"/>
      <c r="F28" s="586"/>
      <c r="G28" s="586"/>
      <c r="H28" s="586"/>
      <c r="I28" s="586"/>
      <c r="J28" s="586"/>
      <c r="K28" s="587"/>
      <c r="N28" s="244"/>
      <c r="O28" s="244"/>
      <c r="P28" s="244"/>
      <c r="Q28" s="244"/>
      <c r="R28" s="244"/>
      <c r="S28" s="244"/>
      <c r="T28" s="244"/>
      <c r="U28" s="244"/>
      <c r="V28" s="244"/>
      <c r="W28" s="244"/>
      <c r="X28" s="244"/>
      <c r="Y28" s="244"/>
      <c r="Z28" s="244"/>
      <c r="AA28" s="244"/>
      <c r="AB28" s="244"/>
      <c r="AC28" s="244"/>
      <c r="AD28" s="244"/>
      <c r="AE28" s="244"/>
      <c r="AF28" s="244"/>
      <c r="AG28" s="244"/>
      <c r="AH28" s="244"/>
      <c r="AI28" s="244"/>
      <c r="AJ28" s="244"/>
      <c r="AK28" s="244"/>
      <c r="AL28" s="244"/>
      <c r="AM28" s="244"/>
      <c r="AN28" s="244"/>
      <c r="AO28" s="244"/>
      <c r="AP28" s="244"/>
      <c r="AQ28" s="244"/>
      <c r="AR28" s="244"/>
      <c r="AS28" s="244"/>
      <c r="AT28" s="244"/>
      <c r="AU28" s="244"/>
      <c r="AV28" s="244"/>
      <c r="AW28" s="244"/>
      <c r="AX28" s="244"/>
      <c r="AY28" s="244"/>
    </row>
    <row r="29" spans="1:52" ht="15.75">
      <c r="A29" s="202">
        <v>4.0999999999999996</v>
      </c>
      <c r="B29" s="240" t="s">
        <v>47</v>
      </c>
      <c r="C29" s="203" t="str">
        <f>"0912-7LEK-B"&amp;A29&amp;"-"&amp;UPPER(LEFT(B29,1))</f>
        <v>0912-7LEK-B4.1-S</v>
      </c>
      <c r="D29" s="241">
        <v>2</v>
      </c>
      <c r="E29" s="242">
        <f>SUM(F29:I29)</f>
        <v>15</v>
      </c>
      <c r="F29" s="242">
        <v>15</v>
      </c>
      <c r="G29" s="242">
        <v>0</v>
      </c>
      <c r="H29" s="242">
        <v>0</v>
      </c>
      <c r="I29" s="242">
        <v>0</v>
      </c>
      <c r="J29" s="242">
        <v>25</v>
      </c>
      <c r="K29" s="242">
        <v>1</v>
      </c>
      <c r="N29" s="244"/>
      <c r="O29" s="244"/>
      <c r="P29" s="244"/>
      <c r="Q29" s="244"/>
      <c r="R29" s="244"/>
      <c r="S29" s="244"/>
      <c r="T29" s="244"/>
      <c r="U29" s="244"/>
      <c r="V29" s="244"/>
      <c r="W29" s="244"/>
      <c r="X29" s="244"/>
      <c r="Y29" s="244"/>
      <c r="Z29" s="244"/>
      <c r="AA29" s="244"/>
      <c r="AB29" s="244"/>
      <c r="AC29" s="244"/>
      <c r="AD29" s="244"/>
      <c r="AE29" s="244"/>
      <c r="AF29" s="244"/>
      <c r="AG29" s="244"/>
      <c r="AH29" s="244"/>
      <c r="AI29" s="244"/>
      <c r="AJ29" s="244"/>
      <c r="AK29" s="244"/>
      <c r="AL29" s="244"/>
      <c r="AM29" s="244"/>
      <c r="AN29" s="244"/>
      <c r="AO29" s="244"/>
      <c r="AP29" s="244"/>
      <c r="AQ29" s="244"/>
      <c r="AR29" s="244"/>
      <c r="AS29" s="244"/>
      <c r="AT29" s="244"/>
      <c r="AU29" s="244"/>
      <c r="AV29" s="244"/>
      <c r="AW29" s="244"/>
      <c r="AX29" s="244"/>
      <c r="AY29" s="244"/>
    </row>
    <row r="30" spans="1:52" ht="15.75">
      <c r="A30" s="215">
        <v>4.2</v>
      </c>
      <c r="B30" s="217" t="s">
        <v>48</v>
      </c>
      <c r="C30" s="17" t="str">
        <f t="shared" ref="C30:C32" si="6">"0912-7LEK-B"&amp;A30&amp;"-"&amp;UPPER(LEFT(B30,1))</f>
        <v>0912-7LEK-B4.2-P</v>
      </c>
      <c r="D30" s="227">
        <v>2</v>
      </c>
      <c r="E30" s="242">
        <f t="shared" ref="E30:E35" si="7">SUM(F30:I30)</f>
        <v>15</v>
      </c>
      <c r="F30" s="228">
        <v>15</v>
      </c>
      <c r="G30" s="228">
        <v>0</v>
      </c>
      <c r="H30" s="228">
        <v>0</v>
      </c>
      <c r="I30" s="228">
        <v>0</v>
      </c>
      <c r="J30" s="228">
        <v>25</v>
      </c>
      <c r="K30" s="228">
        <v>1</v>
      </c>
      <c r="N30" s="244"/>
      <c r="O30" s="244"/>
      <c r="P30" s="244"/>
      <c r="Q30" s="244"/>
      <c r="R30" s="244"/>
      <c r="S30" s="244"/>
      <c r="T30" s="244"/>
      <c r="U30" s="244"/>
      <c r="V30" s="244"/>
      <c r="W30" s="244"/>
      <c r="X30" s="244"/>
      <c r="Y30" s="244"/>
      <c r="Z30" s="244"/>
      <c r="AA30" s="244"/>
      <c r="AB30" s="244"/>
      <c r="AC30" s="244"/>
      <c r="AD30" s="244"/>
      <c r="AE30" s="244"/>
      <c r="AF30" s="244"/>
      <c r="AG30" s="244"/>
      <c r="AH30" s="244"/>
      <c r="AI30" s="244"/>
      <c r="AJ30" s="244"/>
      <c r="AK30" s="244"/>
      <c r="AL30" s="244"/>
      <c r="AM30" s="244"/>
      <c r="AN30" s="244"/>
      <c r="AO30" s="244"/>
      <c r="AP30" s="244"/>
      <c r="AQ30" s="244"/>
      <c r="AR30" s="244"/>
      <c r="AS30" s="244"/>
      <c r="AT30" s="244"/>
      <c r="AU30" s="244"/>
      <c r="AV30" s="244"/>
      <c r="AW30" s="244"/>
      <c r="AX30" s="244"/>
      <c r="AY30" s="244"/>
    </row>
    <row r="31" spans="1:52" ht="15.75">
      <c r="A31" s="6">
        <v>4.3</v>
      </c>
      <c r="B31" s="217" t="s">
        <v>49</v>
      </c>
      <c r="C31" s="17" t="str">
        <f t="shared" si="6"/>
        <v>0912-7LEK-B4.3-E</v>
      </c>
      <c r="D31" s="227">
        <v>1</v>
      </c>
      <c r="E31" s="242">
        <f t="shared" si="7"/>
        <v>15</v>
      </c>
      <c r="F31" s="228">
        <v>15</v>
      </c>
      <c r="G31" s="228">
        <v>0</v>
      </c>
      <c r="H31" s="228">
        <v>0</v>
      </c>
      <c r="I31" s="228">
        <v>0</v>
      </c>
      <c r="J31" s="228">
        <v>25</v>
      </c>
      <c r="K31" s="228">
        <v>1</v>
      </c>
      <c r="N31" s="244"/>
      <c r="O31" s="244"/>
      <c r="P31" s="244"/>
      <c r="Q31" s="244"/>
      <c r="R31" s="244"/>
      <c r="S31" s="244"/>
      <c r="T31" s="244"/>
      <c r="U31" s="244"/>
      <c r="V31" s="244"/>
      <c r="W31" s="244"/>
      <c r="X31" s="244"/>
      <c r="Y31" s="244"/>
      <c r="Z31" s="244"/>
      <c r="AA31" s="244"/>
      <c r="AB31" s="244"/>
      <c r="AC31" s="244"/>
      <c r="AD31" s="244"/>
      <c r="AE31" s="244"/>
      <c r="AF31" s="244"/>
      <c r="AG31" s="244"/>
      <c r="AH31" s="244"/>
      <c r="AI31" s="244"/>
      <c r="AJ31" s="244"/>
      <c r="AK31" s="244"/>
      <c r="AL31" s="244"/>
      <c r="AM31" s="244"/>
      <c r="AN31" s="244"/>
      <c r="AO31" s="244"/>
      <c r="AP31" s="244"/>
      <c r="AQ31" s="244"/>
      <c r="AR31" s="244"/>
      <c r="AS31" s="244"/>
      <c r="AT31" s="244"/>
      <c r="AU31" s="244"/>
      <c r="AV31" s="244"/>
      <c r="AW31" s="244"/>
      <c r="AX31" s="244"/>
      <c r="AY31" s="244"/>
    </row>
    <row r="32" spans="1:52" ht="15.75">
      <c r="A32" s="215">
        <v>4.4000000000000004</v>
      </c>
      <c r="B32" s="217" t="s">
        <v>92</v>
      </c>
      <c r="C32" s="17" t="str">
        <f t="shared" si="6"/>
        <v>0912-7LEK-B4.4-E</v>
      </c>
      <c r="D32" s="227">
        <v>1</v>
      </c>
      <c r="E32" s="242">
        <f t="shared" si="7"/>
        <v>15</v>
      </c>
      <c r="F32" s="228">
        <v>15</v>
      </c>
      <c r="G32" s="228">
        <v>0</v>
      </c>
      <c r="H32" s="228">
        <v>0</v>
      </c>
      <c r="I32" s="228">
        <v>0</v>
      </c>
      <c r="J32" s="228">
        <v>25</v>
      </c>
      <c r="K32" s="228">
        <v>1</v>
      </c>
      <c r="N32" s="244"/>
      <c r="O32" s="244"/>
      <c r="P32" s="244"/>
      <c r="Q32" s="244"/>
      <c r="R32" s="244"/>
      <c r="S32" s="244"/>
      <c r="T32" s="244"/>
      <c r="U32" s="244"/>
      <c r="V32" s="244"/>
      <c r="W32" s="244"/>
      <c r="X32" s="244"/>
      <c r="Y32" s="244"/>
      <c r="Z32" s="244"/>
      <c r="AA32" s="244"/>
      <c r="AB32" s="244"/>
      <c r="AC32" s="244"/>
      <c r="AD32" s="244"/>
      <c r="AE32" s="244"/>
      <c r="AF32" s="244"/>
      <c r="AG32" s="244"/>
      <c r="AH32" s="244"/>
      <c r="AI32" s="244"/>
      <c r="AJ32" s="244"/>
      <c r="AK32" s="244"/>
      <c r="AL32" s="244"/>
      <c r="AM32" s="244"/>
      <c r="AN32" s="244"/>
      <c r="AO32" s="244"/>
      <c r="AP32" s="244"/>
      <c r="AQ32" s="244"/>
      <c r="AR32" s="244"/>
      <c r="AS32" s="244"/>
      <c r="AT32" s="244"/>
      <c r="AU32" s="244"/>
      <c r="AV32" s="244"/>
      <c r="AW32" s="244"/>
      <c r="AX32" s="244"/>
      <c r="AY32" s="244"/>
    </row>
    <row r="33" spans="1:51" ht="15.75">
      <c r="A33" s="442">
        <v>4.5</v>
      </c>
      <c r="B33" s="437" t="s">
        <v>50</v>
      </c>
      <c r="C33" s="17" t="str">
        <f>"0912-7LEK-B"&amp;A33&amp;"-"&amp;UPPER(LEFT(B33,1))</f>
        <v>0912-7LEK-B4.5-H</v>
      </c>
      <c r="D33" s="227" t="s">
        <v>241</v>
      </c>
      <c r="E33" s="242">
        <f t="shared" si="7"/>
        <v>30</v>
      </c>
      <c r="F33" s="228">
        <v>30</v>
      </c>
      <c r="G33" s="228">
        <v>0</v>
      </c>
      <c r="H33" s="228">
        <v>0</v>
      </c>
      <c r="I33" s="228">
        <v>0</v>
      </c>
      <c r="J33" s="228">
        <v>30</v>
      </c>
      <c r="K33" s="228">
        <v>1</v>
      </c>
      <c r="N33" s="244"/>
      <c r="O33" s="244"/>
      <c r="P33" s="244"/>
      <c r="Q33" s="244"/>
      <c r="R33" s="244"/>
      <c r="S33" s="244"/>
      <c r="T33" s="244"/>
      <c r="U33" s="244"/>
      <c r="V33" s="244"/>
      <c r="W33" s="244"/>
      <c r="X33" s="244"/>
      <c r="Y33" s="244"/>
      <c r="Z33" s="244"/>
      <c r="AA33" s="244"/>
      <c r="AB33" s="244"/>
      <c r="AC33" s="244"/>
      <c r="AD33" s="244"/>
      <c r="AE33" s="244"/>
      <c r="AF33" s="244"/>
      <c r="AG33" s="244"/>
      <c r="AH33" s="244"/>
      <c r="AI33" s="244"/>
      <c r="AJ33" s="244"/>
      <c r="AK33" s="244"/>
      <c r="AL33" s="244"/>
      <c r="AM33" s="244"/>
      <c r="AN33" s="244"/>
      <c r="AO33" s="244"/>
      <c r="AP33" s="244"/>
      <c r="AQ33" s="244"/>
      <c r="AR33" s="244"/>
      <c r="AS33" s="244"/>
      <c r="AT33" s="244"/>
      <c r="AU33" s="244"/>
      <c r="AV33" s="244"/>
      <c r="AW33" s="244"/>
      <c r="AX33" s="244"/>
      <c r="AY33" s="244"/>
    </row>
    <row r="34" spans="1:51" ht="15.75">
      <c r="A34" s="443">
        <v>4.5999999999999996</v>
      </c>
      <c r="B34" s="444" t="s">
        <v>17</v>
      </c>
      <c r="C34" s="17" t="str">
        <f>"0912-7LEK-A"&amp;A34&amp;"-"&amp;UPPER(LEFT(B34,1))&amp;"A"</f>
        <v>0912-7LEK-A4.6-JA</v>
      </c>
      <c r="D34" s="227" t="s">
        <v>239</v>
      </c>
      <c r="E34" s="242">
        <f t="shared" si="7"/>
        <v>120</v>
      </c>
      <c r="F34" s="228">
        <v>0</v>
      </c>
      <c r="G34" s="228">
        <v>120</v>
      </c>
      <c r="H34" s="228">
        <v>0</v>
      </c>
      <c r="I34" s="228">
        <v>0</v>
      </c>
      <c r="J34" s="228">
        <v>180</v>
      </c>
      <c r="K34" s="228">
        <v>6</v>
      </c>
      <c r="N34" s="244"/>
      <c r="O34" s="244"/>
      <c r="P34" s="244"/>
      <c r="Q34" s="244"/>
      <c r="R34" s="244"/>
      <c r="S34" s="244"/>
      <c r="T34" s="244"/>
      <c r="U34" s="244"/>
      <c r="V34" s="244"/>
      <c r="W34" s="244"/>
      <c r="X34" s="244"/>
      <c r="Y34" s="244"/>
      <c r="Z34" s="244"/>
      <c r="AA34" s="244"/>
      <c r="AB34" s="244"/>
      <c r="AC34" s="244"/>
      <c r="AD34" s="244"/>
      <c r="AE34" s="244"/>
      <c r="AF34" s="244"/>
      <c r="AG34" s="244"/>
      <c r="AH34" s="244"/>
      <c r="AI34" s="244"/>
      <c r="AJ34" s="244"/>
      <c r="AK34" s="244"/>
      <c r="AL34" s="244"/>
      <c r="AM34" s="244"/>
      <c r="AN34" s="244"/>
      <c r="AO34" s="244"/>
      <c r="AP34" s="244"/>
      <c r="AQ34" s="244"/>
      <c r="AR34" s="244"/>
      <c r="AS34" s="244"/>
      <c r="AT34" s="244"/>
      <c r="AU34" s="244"/>
      <c r="AV34" s="244"/>
      <c r="AW34" s="244"/>
      <c r="AX34" s="244"/>
      <c r="AY34" s="244"/>
    </row>
    <row r="35" spans="1:51" ht="31.5">
      <c r="A35" s="445">
        <v>4.7</v>
      </c>
      <c r="B35" s="437" t="s">
        <v>307</v>
      </c>
      <c r="C35" s="17" t="s">
        <v>308</v>
      </c>
      <c r="D35" s="227" t="s">
        <v>145</v>
      </c>
      <c r="E35" s="242">
        <f t="shared" si="7"/>
        <v>30</v>
      </c>
      <c r="F35" s="228">
        <f>'II rok'!Z23</f>
        <v>20</v>
      </c>
      <c r="G35" s="228">
        <f>'II rok'!AA23</f>
        <v>10</v>
      </c>
      <c r="H35" s="228">
        <f>'II rok'!AB23</f>
        <v>0</v>
      </c>
      <c r="I35" s="228">
        <f>'II rok'!AC23</f>
        <v>0</v>
      </c>
      <c r="J35" s="228">
        <f>'II rok'!AD23</f>
        <v>50</v>
      </c>
      <c r="K35" s="228">
        <f>SUM('II rok'!AE23)</f>
        <v>2</v>
      </c>
      <c r="N35" s="244"/>
      <c r="O35" s="244"/>
      <c r="P35" s="244"/>
      <c r="Q35" s="244"/>
      <c r="R35" s="244"/>
      <c r="S35" s="244"/>
      <c r="T35" s="244"/>
      <c r="U35" s="244"/>
      <c r="V35" s="244"/>
      <c r="W35" s="244"/>
      <c r="X35" s="244"/>
      <c r="Y35" s="244"/>
      <c r="Z35" s="244"/>
      <c r="AA35" s="244"/>
      <c r="AB35" s="244"/>
      <c r="AC35" s="244"/>
      <c r="AD35" s="244"/>
      <c r="AE35" s="244"/>
      <c r="AF35" s="244"/>
      <c r="AG35" s="244"/>
      <c r="AH35" s="244"/>
      <c r="AI35" s="244"/>
      <c r="AJ35" s="244"/>
      <c r="AK35" s="244"/>
      <c r="AL35" s="244"/>
      <c r="AM35" s="244"/>
      <c r="AN35" s="244"/>
      <c r="AO35" s="244"/>
      <c r="AP35" s="244"/>
      <c r="AQ35" s="244"/>
      <c r="AR35" s="244"/>
      <c r="AS35" s="244"/>
      <c r="AT35" s="244"/>
      <c r="AU35" s="244"/>
      <c r="AV35" s="244"/>
      <c r="AW35" s="244"/>
      <c r="AX35" s="244"/>
      <c r="AY35" s="244"/>
    </row>
    <row r="36" spans="1:51">
      <c r="A36" s="592" t="s">
        <v>9</v>
      </c>
      <c r="B36" s="593"/>
      <c r="C36" s="593"/>
      <c r="D36" s="594"/>
      <c r="E36" s="239">
        <f t="shared" ref="E36:K36" si="8">SUM(E29:E35)</f>
        <v>240</v>
      </c>
      <c r="F36" s="239">
        <f t="shared" si="8"/>
        <v>110</v>
      </c>
      <c r="G36" s="239">
        <f t="shared" si="8"/>
        <v>130</v>
      </c>
      <c r="H36" s="239">
        <f t="shared" si="8"/>
        <v>0</v>
      </c>
      <c r="I36" s="239">
        <f t="shared" si="8"/>
        <v>0</v>
      </c>
      <c r="J36" s="239">
        <f t="shared" si="8"/>
        <v>360</v>
      </c>
      <c r="K36" s="239">
        <f t="shared" si="8"/>
        <v>13</v>
      </c>
      <c r="N36" s="244"/>
      <c r="O36" s="244"/>
      <c r="P36" s="244"/>
      <c r="Q36" s="244"/>
      <c r="R36" s="244"/>
      <c r="S36" s="244"/>
      <c r="T36" s="244"/>
      <c r="U36" s="244"/>
      <c r="V36" s="244"/>
      <c r="W36" s="244"/>
      <c r="X36" s="244"/>
      <c r="Y36" s="244"/>
      <c r="Z36" s="244"/>
      <c r="AA36" s="244"/>
      <c r="AB36" s="244"/>
      <c r="AC36" s="244"/>
      <c r="AD36" s="244"/>
      <c r="AE36" s="244"/>
      <c r="AF36" s="244"/>
      <c r="AG36" s="244"/>
      <c r="AH36" s="244"/>
      <c r="AI36" s="244"/>
      <c r="AJ36" s="244"/>
      <c r="AK36" s="244"/>
      <c r="AL36" s="244"/>
      <c r="AM36" s="244"/>
      <c r="AN36" s="244"/>
      <c r="AO36" s="244"/>
      <c r="AP36" s="244"/>
      <c r="AQ36" s="244"/>
      <c r="AR36" s="244"/>
      <c r="AS36" s="244"/>
      <c r="AT36" s="244"/>
      <c r="AU36" s="244"/>
      <c r="AV36" s="244"/>
      <c r="AW36" s="244"/>
      <c r="AX36" s="244"/>
      <c r="AY36" s="244"/>
    </row>
    <row r="37" spans="1:51">
      <c r="A37" s="585" t="s">
        <v>25</v>
      </c>
      <c r="B37" s="586"/>
      <c r="C37" s="586"/>
      <c r="D37" s="586"/>
      <c r="E37" s="586"/>
      <c r="F37" s="586"/>
      <c r="G37" s="586"/>
      <c r="H37" s="586"/>
      <c r="I37" s="586"/>
      <c r="J37" s="586"/>
      <c r="K37" s="587"/>
      <c r="N37" s="244"/>
      <c r="O37" s="244"/>
      <c r="P37" s="244"/>
      <c r="Q37" s="244"/>
      <c r="R37" s="244"/>
      <c r="S37" s="244"/>
      <c r="T37" s="244"/>
      <c r="U37" s="244"/>
      <c r="V37" s="244"/>
      <c r="W37" s="244"/>
      <c r="X37" s="244"/>
      <c r="Y37" s="244"/>
      <c r="Z37" s="244"/>
      <c r="AA37" s="244"/>
      <c r="AB37" s="244"/>
      <c r="AC37" s="244"/>
      <c r="AD37" s="244"/>
      <c r="AE37" s="244"/>
      <c r="AF37" s="244"/>
      <c r="AG37" s="244"/>
      <c r="AH37" s="244"/>
      <c r="AI37" s="244"/>
      <c r="AJ37" s="244"/>
      <c r="AK37" s="244"/>
      <c r="AL37" s="244"/>
      <c r="AM37" s="244"/>
      <c r="AN37" s="244"/>
      <c r="AO37" s="244"/>
      <c r="AP37" s="244"/>
      <c r="AQ37" s="244"/>
      <c r="AR37" s="244"/>
      <c r="AS37" s="244"/>
      <c r="AT37" s="244"/>
      <c r="AU37" s="244"/>
      <c r="AV37" s="244"/>
      <c r="AW37" s="244"/>
      <c r="AX37" s="244"/>
      <c r="AY37" s="244"/>
    </row>
    <row r="38" spans="1:51" ht="15.75">
      <c r="A38" s="202">
        <v>5.0999999999999996</v>
      </c>
      <c r="B38" s="240" t="s">
        <v>51</v>
      </c>
      <c r="C38" s="203" t="str">
        <f>"0912-7LEK-C"&amp;A38&amp;"-"&amp;UPPER(LEFT(B38,1))</f>
        <v>0912-7LEK-C5.1-P</v>
      </c>
      <c r="D38" s="241" t="s">
        <v>246</v>
      </c>
      <c r="E38" s="242">
        <f>SUM(F38:I38)</f>
        <v>265</v>
      </c>
      <c r="F38" s="242">
        <f>'III rok'!G18+'III rok'!P18+'IV rok'!G11+'IV rok'!P11+'V rok'!G14+'V rok'!P14</f>
        <v>75</v>
      </c>
      <c r="G38" s="242">
        <f>'III rok'!I18+'III rok'!R18+'IV rok'!I11+'IV rok'!R11+'V rok'!I14+'V rok'!R14</f>
        <v>75</v>
      </c>
      <c r="H38" s="242">
        <f>'III rok'!K18+'III rok'!T18+'IV rok'!K11+'IV rok'!T11+'V rok'!K14+'V rok'!T14</f>
        <v>115</v>
      </c>
      <c r="I38" s="242">
        <v>0</v>
      </c>
      <c r="J38" s="242">
        <f>'III rok'!AD18+'IV rok'!AD11+'V rok'!AD14</f>
        <v>400</v>
      </c>
      <c r="K38" s="242">
        <f>'III rok'!O18+'III rok'!X18+'IV rok'!O11+'IV rok'!X11+'V rok'!O14+'V rok'!X14</f>
        <v>16</v>
      </c>
    </row>
    <row r="39" spans="1:51" ht="15.75">
      <c r="A39" s="6">
        <v>5.2</v>
      </c>
      <c r="B39" s="217" t="s">
        <v>80</v>
      </c>
      <c r="C39" s="17" t="str">
        <f>"0912-7LEK-C"&amp;A39&amp;"-"&amp;UPPER(LEFT(B39,1))&amp;"W"</f>
        <v>0912-7LEK-C5.2-CW</v>
      </c>
      <c r="D39" s="227" t="s">
        <v>321</v>
      </c>
      <c r="E39" s="242">
        <f t="shared" ref="E39:E50" si="9">SUM(F39:I39)</f>
        <v>180</v>
      </c>
      <c r="F39" s="228">
        <f>'III rok'!Z19+'IV rok'!Z12+'V rok'!Z15</f>
        <v>60</v>
      </c>
      <c r="G39" s="228">
        <f>'III rok'!AA19+'IV rok'!AA12+'V rok'!AA15</f>
        <v>50</v>
      </c>
      <c r="H39" s="228">
        <f>'III rok'!AB19+'IV rok'!AB12+'V rok'!AB15</f>
        <v>70</v>
      </c>
      <c r="I39" s="228">
        <f>'III rok'!AC19+'IV rok'!AC12+'V rok'!AC15</f>
        <v>0</v>
      </c>
      <c r="J39" s="228">
        <f>'III rok'!AD19+'IV rok'!AD12+'V rok'!AD15</f>
        <v>250</v>
      </c>
      <c r="K39" s="228">
        <f>'III rok'!AE19+'IV rok'!AE12+'V rok'!AE15</f>
        <v>10</v>
      </c>
    </row>
    <row r="40" spans="1:51" ht="15.75">
      <c r="A40" s="443" t="s">
        <v>319</v>
      </c>
      <c r="B40" s="437" t="s">
        <v>322</v>
      </c>
      <c r="C40" s="446" t="str">
        <f>"0912-7LEK-C"&amp;A40&amp;"-"&amp;UPPER(LEFT(B40,1))&amp;"W"</f>
        <v>0912-7LEK-C5.2a-CW</v>
      </c>
      <c r="D40" s="439" t="s">
        <v>147</v>
      </c>
      <c r="E40" s="440">
        <f t="shared" si="9"/>
        <v>55</v>
      </c>
      <c r="F40" s="441">
        <f>'III rok'!Z20</f>
        <v>15</v>
      </c>
      <c r="G40" s="441">
        <f>'III rok'!AA20</f>
        <v>15</v>
      </c>
      <c r="H40" s="441">
        <f>'III rok'!AB20</f>
        <v>25</v>
      </c>
      <c r="I40" s="441">
        <f>'III rok'!AC20</f>
        <v>0</v>
      </c>
      <c r="J40" s="441">
        <f>'III rok'!AD20</f>
        <v>75</v>
      </c>
      <c r="K40" s="441">
        <f>'III rok'!AE20</f>
        <v>3</v>
      </c>
    </row>
    <row r="41" spans="1:51" s="365" customFormat="1" ht="15.75">
      <c r="A41" s="443">
        <v>5.3</v>
      </c>
      <c r="B41" s="437" t="s">
        <v>52</v>
      </c>
      <c r="C41" s="446" t="str">
        <f t="shared" ref="C41:C48" si="10">"0912-7LEK-C"&amp;A41&amp;"-"&amp;UPPER(LEFT(B41,1))</f>
        <v>0912-7LEK-C5.3-G</v>
      </c>
      <c r="D41" s="439">
        <v>10</v>
      </c>
      <c r="E41" s="440">
        <f t="shared" si="9"/>
        <v>50</v>
      </c>
      <c r="F41" s="441">
        <f>'V rok'!P16</f>
        <v>15</v>
      </c>
      <c r="G41" s="441">
        <f>'V rok'!R16</f>
        <v>20</v>
      </c>
      <c r="H41" s="441">
        <f>'V rok'!T16</f>
        <v>15</v>
      </c>
      <c r="I41" s="441">
        <v>0</v>
      </c>
      <c r="J41" s="441">
        <f>'V rok'!AD16</f>
        <v>75</v>
      </c>
      <c r="K41" s="441">
        <f>'V rok'!AE16</f>
        <v>3</v>
      </c>
    </row>
    <row r="42" spans="1:51" ht="15.75">
      <c r="A42" s="443">
        <v>5.4</v>
      </c>
      <c r="B42" s="437" t="s">
        <v>53</v>
      </c>
      <c r="C42" s="446" t="str">
        <f t="shared" si="10"/>
        <v>0912-7LEK-C5.4-N</v>
      </c>
      <c r="D42" s="439">
        <v>7</v>
      </c>
      <c r="E42" s="440">
        <f t="shared" si="9"/>
        <v>60</v>
      </c>
      <c r="F42" s="441">
        <v>15</v>
      </c>
      <c r="G42" s="441">
        <v>15</v>
      </c>
      <c r="H42" s="441">
        <v>30</v>
      </c>
      <c r="I42" s="441">
        <v>0</v>
      </c>
      <c r="J42" s="441">
        <v>100</v>
      </c>
      <c r="K42" s="441">
        <v>4</v>
      </c>
    </row>
    <row r="43" spans="1:51" ht="15.75">
      <c r="A43" s="6">
        <v>5.5</v>
      </c>
      <c r="B43" s="217" t="s">
        <v>54</v>
      </c>
      <c r="C43" s="17" t="str">
        <f t="shared" si="10"/>
        <v>0912-7LEK-C5.5-P</v>
      </c>
      <c r="D43" s="227">
        <v>8</v>
      </c>
      <c r="E43" s="242">
        <f t="shared" si="9"/>
        <v>65</v>
      </c>
      <c r="F43" s="228">
        <f>'IV rok'!Z14</f>
        <v>20</v>
      </c>
      <c r="G43" s="228">
        <f>'IV rok'!AA14</f>
        <v>20</v>
      </c>
      <c r="H43" s="228">
        <f>'IV rok'!AB14</f>
        <v>25</v>
      </c>
      <c r="I43" s="228">
        <v>0</v>
      </c>
      <c r="J43" s="228">
        <v>100</v>
      </c>
      <c r="K43" s="228">
        <v>4</v>
      </c>
    </row>
    <row r="44" spans="1:51" ht="15.75">
      <c r="A44" s="6">
        <v>5.6</v>
      </c>
      <c r="B44" s="217" t="s">
        <v>55</v>
      </c>
      <c r="C44" s="17" t="str">
        <f t="shared" si="10"/>
        <v>0912-7LEK-C5.6-O</v>
      </c>
      <c r="D44" s="227">
        <v>7</v>
      </c>
      <c r="E44" s="242">
        <f t="shared" si="9"/>
        <v>55</v>
      </c>
      <c r="F44" s="228">
        <v>15</v>
      </c>
      <c r="G44" s="228">
        <v>15</v>
      </c>
      <c r="H44" s="228">
        <v>25</v>
      </c>
      <c r="I44" s="228">
        <v>0</v>
      </c>
      <c r="J44" s="228">
        <v>100</v>
      </c>
      <c r="K44" s="228">
        <v>4</v>
      </c>
    </row>
    <row r="45" spans="1:51" ht="15.75">
      <c r="A45" s="6">
        <v>5.7</v>
      </c>
      <c r="B45" s="217" t="s">
        <v>56</v>
      </c>
      <c r="C45" s="17" t="str">
        <f>"0912-7LEK-C"&amp;A45&amp;"-"&amp;UPPER(LEFT(B45,1))&amp;"R"</f>
        <v>0912-7LEK-C5.7-MR</v>
      </c>
      <c r="D45" s="227">
        <v>9</v>
      </c>
      <c r="E45" s="242">
        <f t="shared" si="9"/>
        <v>55</v>
      </c>
      <c r="F45" s="228">
        <v>15</v>
      </c>
      <c r="G45" s="228">
        <v>25</v>
      </c>
      <c r="H45" s="228">
        <v>15</v>
      </c>
      <c r="I45" s="228">
        <v>0</v>
      </c>
      <c r="J45" s="228">
        <v>100</v>
      </c>
      <c r="K45" s="228">
        <v>4</v>
      </c>
    </row>
    <row r="46" spans="1:51" ht="15.75">
      <c r="A46" s="6">
        <v>5.8</v>
      </c>
      <c r="B46" s="217" t="s">
        <v>57</v>
      </c>
      <c r="C46" s="17" t="str">
        <f>"0912-7LEK-C"&amp;A46&amp;"-"&amp;UPPER(LEFT(B46,1))&amp;"iW"</f>
        <v>0912-7LEK-C5.8-DiW</v>
      </c>
      <c r="D46" s="227">
        <v>6</v>
      </c>
      <c r="E46" s="242">
        <f t="shared" si="9"/>
        <v>55</v>
      </c>
      <c r="F46" s="228">
        <v>15</v>
      </c>
      <c r="G46" s="228">
        <v>15</v>
      </c>
      <c r="H46" s="228">
        <v>25</v>
      </c>
      <c r="I46" s="228">
        <v>0</v>
      </c>
      <c r="J46" s="228">
        <v>75</v>
      </c>
      <c r="K46" s="228">
        <v>3</v>
      </c>
    </row>
    <row r="47" spans="1:51" ht="15.75">
      <c r="A47" s="6">
        <v>5.9</v>
      </c>
      <c r="B47" s="217" t="s">
        <v>58</v>
      </c>
      <c r="C47" s="17" t="str">
        <f>"0912-7LEK-C"&amp;A47&amp;"-"&amp;UPPER(LEFT(B47,1))&amp;"Z"</f>
        <v>0912-7LEK-C5.9-CZ</v>
      </c>
      <c r="D47" s="227" t="s">
        <v>149</v>
      </c>
      <c r="E47" s="242">
        <f t="shared" si="9"/>
        <v>70</v>
      </c>
      <c r="F47" s="228">
        <v>30</v>
      </c>
      <c r="G47" s="228">
        <v>20</v>
      </c>
      <c r="H47" s="228">
        <v>20</v>
      </c>
      <c r="I47" s="228">
        <v>0</v>
      </c>
      <c r="J47" s="228">
        <f>'IV rok'!AD16</f>
        <v>100</v>
      </c>
      <c r="K47" s="228">
        <v>4</v>
      </c>
    </row>
    <row r="48" spans="1:51" ht="15.75">
      <c r="A48" s="219">
        <v>5.0999999999999996</v>
      </c>
      <c r="B48" s="217" t="s">
        <v>59</v>
      </c>
      <c r="C48" s="17" t="str">
        <f t="shared" si="10"/>
        <v>0912-7LEK-C5.1-R</v>
      </c>
      <c r="D48" s="227">
        <v>7</v>
      </c>
      <c r="E48" s="242">
        <f t="shared" si="9"/>
        <v>50</v>
      </c>
      <c r="F48" s="228">
        <v>15</v>
      </c>
      <c r="G48" s="228">
        <v>15</v>
      </c>
      <c r="H48" s="228">
        <v>20</v>
      </c>
      <c r="I48" s="228">
        <v>0</v>
      </c>
      <c r="J48" s="228">
        <f>'IV rok'!G17+'IV rok'!H17+'IV rok'!I17+'IV rok'!J17+'IV rok'!K17+'IV rok'!L17+'IV rok'!M17+'IV rok'!N17+'IV rok'!P17+'IV rok'!Q17+'IV rok'!R17+'IV rok'!S17+'IV rok'!T17+'IV rok'!U17+'IV rok'!V17+'IV rok'!W17</f>
        <v>75</v>
      </c>
      <c r="K48" s="228">
        <v>3</v>
      </c>
    </row>
    <row r="49" spans="1:11" ht="15.75">
      <c r="A49" s="219">
        <v>5.1100000000000003</v>
      </c>
      <c r="B49" s="217" t="s">
        <v>60</v>
      </c>
      <c r="C49" s="17" t="str">
        <f>"0912-7LEK-C"&amp;A49&amp;"-"&amp;UPPER(LEFT(B49,1))&amp;"L"</f>
        <v>0912-7LEK-C5.11-DL</v>
      </c>
      <c r="D49" s="227" t="s">
        <v>147</v>
      </c>
      <c r="E49" s="242">
        <f t="shared" si="9"/>
        <v>55</v>
      </c>
      <c r="F49" s="228">
        <v>15</v>
      </c>
      <c r="G49" s="228">
        <v>40</v>
      </c>
      <c r="H49" s="228">
        <v>0</v>
      </c>
      <c r="I49" s="228">
        <v>0</v>
      </c>
      <c r="J49" s="228">
        <v>100</v>
      </c>
      <c r="K49" s="228">
        <v>4</v>
      </c>
    </row>
    <row r="50" spans="1:11" ht="15.75">
      <c r="A50" s="219">
        <v>5.12</v>
      </c>
      <c r="B50" s="217" t="s">
        <v>61</v>
      </c>
      <c r="C50" s="17" t="str">
        <f>"0912-7LEK-C"&amp;A50&amp;"-"&amp;UPPER(LEFT(B50,1))&amp;"K"</f>
        <v>0912-7LEK-C5.12-FK</v>
      </c>
      <c r="D50" s="227" t="s">
        <v>146</v>
      </c>
      <c r="E50" s="242">
        <f t="shared" si="9"/>
        <v>45</v>
      </c>
      <c r="F50" s="228">
        <f>'IV rok'!Z18</f>
        <v>20</v>
      </c>
      <c r="G50" s="228">
        <f>'IV rok'!AA18</f>
        <v>25</v>
      </c>
      <c r="H50" s="228"/>
      <c r="I50" s="228">
        <v>0</v>
      </c>
      <c r="J50" s="228">
        <f>'IV rok'!G18+'IV rok'!H18+'IV rok'!I18+'IV rok'!J18+'IV rok'!K18+'IV rok'!L18+'IV rok'!M18+'IV rok'!N18+'IV rok'!P18+'IV rok'!Q18+'IV rok'!R18+'IV rok'!S18+'IV rok'!T18+'IV rok'!U18+'IV rok'!V18+'IV rok'!W18</f>
        <v>75</v>
      </c>
      <c r="K50" s="228">
        <v>3</v>
      </c>
    </row>
    <row r="51" spans="1:11">
      <c r="A51" s="592" t="s">
        <v>9</v>
      </c>
      <c r="B51" s="593"/>
      <c r="C51" s="593"/>
      <c r="D51" s="594"/>
      <c r="E51" s="239">
        <f t="shared" ref="E51:K51" si="11">SUM(E38:E50)</f>
        <v>1060</v>
      </c>
      <c r="F51" s="239">
        <f t="shared" si="11"/>
        <v>325</v>
      </c>
      <c r="G51" s="239">
        <f t="shared" si="11"/>
        <v>350</v>
      </c>
      <c r="H51" s="239">
        <f t="shared" si="11"/>
        <v>385</v>
      </c>
      <c r="I51" s="239">
        <f t="shared" si="11"/>
        <v>0</v>
      </c>
      <c r="J51" s="239">
        <f t="shared" si="11"/>
        <v>1625</v>
      </c>
      <c r="K51" s="239">
        <f t="shared" si="11"/>
        <v>65</v>
      </c>
    </row>
    <row r="52" spans="1:11">
      <c r="A52" s="585" t="s">
        <v>26</v>
      </c>
      <c r="B52" s="586"/>
      <c r="C52" s="586"/>
      <c r="D52" s="586"/>
      <c r="E52" s="586"/>
      <c r="F52" s="586"/>
      <c r="G52" s="586"/>
      <c r="H52" s="586"/>
      <c r="I52" s="586"/>
      <c r="J52" s="586"/>
      <c r="K52" s="587"/>
    </row>
    <row r="53" spans="1:11" ht="15.75">
      <c r="A53" s="202">
        <v>6.1</v>
      </c>
      <c r="B53" s="240" t="s">
        <v>62</v>
      </c>
      <c r="C53" s="316" t="str">
        <f>"0912-7LEK-C"&amp;A53&amp;"-"&amp;UPPER(LEFT(B53,1))&amp;"iIT"</f>
        <v>0912-7LEK-C6.1-AiIT</v>
      </c>
      <c r="D53" s="317" t="s">
        <v>245</v>
      </c>
      <c r="E53" s="318">
        <f>SUM(F53:I53)</f>
        <v>95</v>
      </c>
      <c r="F53" s="318">
        <v>30</v>
      </c>
      <c r="G53" s="318">
        <v>30</v>
      </c>
      <c r="H53" s="318">
        <v>35</v>
      </c>
      <c r="I53" s="318">
        <v>0</v>
      </c>
      <c r="J53" s="318">
        <v>125</v>
      </c>
      <c r="K53" s="318">
        <v>5</v>
      </c>
    </row>
    <row r="54" spans="1:11" ht="15.75">
      <c r="A54" s="6">
        <v>6.2</v>
      </c>
      <c r="B54" s="217" t="s">
        <v>63</v>
      </c>
      <c r="C54" s="203" t="str">
        <f>"0912-7LEK-C"&amp;A54&amp;"-"&amp;UPPER(LEFT(B54,1))&amp;""</f>
        <v>0912-7LEK-C6.2-C</v>
      </c>
      <c r="D54" s="227" t="s">
        <v>246</v>
      </c>
      <c r="E54" s="318">
        <f t="shared" ref="E54:E65" si="12">SUM(F54:I54)</f>
        <v>255</v>
      </c>
      <c r="F54" s="228">
        <v>90</v>
      </c>
      <c r="G54" s="228">
        <v>90</v>
      </c>
      <c r="H54" s="228">
        <v>75</v>
      </c>
      <c r="I54" s="228">
        <v>0</v>
      </c>
      <c r="J54" s="228">
        <f>'III rok'!G25+'III rok'!H25+'III rok'!I25+'III rok'!J25+'III rok'!K25+'III rok'!L25+'III rok'!M25+'III rok'!N25+'III rok'!P25+'III rok'!Q25+'III rok'!R25+'III rok'!S25+'III rok'!T25+'III rok'!U25+'III rok'!V25+'III rok'!W25+'IV rok'!G22+'IV rok'!H22+'IV rok'!I22+'IV rok'!J22+'IV rok'!K22+'IV rok'!L22+'IV rok'!M22+'IV rok'!N22+'IV rok'!P22+'IV rok'!Q22+'IV rok'!R22+'IV rok'!S22+'IV rok'!T22+'IV rok'!U22+'IV rok'!V22+'IV rok'!W22+'V rok'!G20+'V rok'!H20+'V rok'!I20+'V rok'!J20+'V rok'!K20+'V rok'!L20+'V rok'!M20+'V rok'!N20+'V rok'!P20+'V rok'!Q20+'V rok'!R20+'V rok'!S20+'V rok'!T20+'V rok'!U20+'V rok'!V20+'V rok'!W20</f>
        <v>375</v>
      </c>
      <c r="K54" s="228">
        <f>'III rok'!O25+'III rok'!X25+'IV rok'!O22+'IV rok'!X22+'V rok'!O20+'V rok'!X20</f>
        <v>15</v>
      </c>
    </row>
    <row r="55" spans="1:11" ht="15.75">
      <c r="A55" s="6">
        <v>6.3</v>
      </c>
      <c r="B55" s="217" t="s">
        <v>64</v>
      </c>
      <c r="C55" s="203" t="str">
        <f>"0912-7LEK-C"&amp;A55&amp;"-"&amp;UPPER(LEFT(B55,1))&amp;"D"</f>
        <v>0912-7LEK-C6.3-CD</v>
      </c>
      <c r="D55" s="227">
        <v>9</v>
      </c>
      <c r="E55" s="318">
        <f t="shared" si="12"/>
        <v>55</v>
      </c>
      <c r="F55" s="228">
        <v>15</v>
      </c>
      <c r="G55" s="228">
        <v>15</v>
      </c>
      <c r="H55" s="228">
        <v>25</v>
      </c>
      <c r="I55" s="228">
        <v>0</v>
      </c>
      <c r="J55" s="228">
        <v>75</v>
      </c>
      <c r="K55" s="228">
        <v>3</v>
      </c>
    </row>
    <row r="56" spans="1:11" ht="15.75">
      <c r="A56" s="6">
        <v>6.4</v>
      </c>
      <c r="B56" s="217" t="s">
        <v>65</v>
      </c>
      <c r="C56" s="203" t="str">
        <f>"0912-7LEK-C"&amp;A56&amp;"-"&amp;UPPER(LEFT(B56,1))&amp;"iT"</f>
        <v>0912-7LEK-C6.4-OiT</v>
      </c>
      <c r="D56" s="227">
        <v>10</v>
      </c>
      <c r="E56" s="318">
        <f t="shared" si="12"/>
        <v>55</v>
      </c>
      <c r="F56" s="228">
        <v>15</v>
      </c>
      <c r="G56" s="228">
        <v>15</v>
      </c>
      <c r="H56" s="228">
        <v>25</v>
      </c>
      <c r="I56" s="228">
        <v>0</v>
      </c>
      <c r="J56" s="228">
        <v>75</v>
      </c>
      <c r="K56" s="228">
        <v>3</v>
      </c>
    </row>
    <row r="57" spans="1:11" ht="15.75">
      <c r="A57" s="6">
        <v>6.5</v>
      </c>
      <c r="B57" s="217" t="s">
        <v>66</v>
      </c>
      <c r="C57" s="203" t="str">
        <f>"0912-7LEK-C"&amp;A57&amp;"-"&amp;UPPER(LEFT(B57,1))&amp;"O"</f>
        <v>0912-7LEK-C6.5-CO</v>
      </c>
      <c r="D57" s="227">
        <v>10</v>
      </c>
      <c r="E57" s="318">
        <f t="shared" si="12"/>
        <v>45</v>
      </c>
      <c r="F57" s="228">
        <v>15</v>
      </c>
      <c r="G57" s="228">
        <v>10</v>
      </c>
      <c r="H57" s="228">
        <v>20</v>
      </c>
      <c r="I57" s="228">
        <v>0</v>
      </c>
      <c r="J57" s="228">
        <v>50</v>
      </c>
      <c r="K57" s="228">
        <v>2</v>
      </c>
    </row>
    <row r="58" spans="1:11" ht="15.75">
      <c r="A58" s="6">
        <v>6.6</v>
      </c>
      <c r="B58" s="220" t="s">
        <v>67</v>
      </c>
      <c r="C58" s="203" t="str">
        <f>"0912-7LEK-C"&amp;A58&amp;"-"&amp;UPPER(LEFT(B58,1))&amp;""</f>
        <v>0912-7LEK-C6.6-U</v>
      </c>
      <c r="D58" s="227">
        <v>10</v>
      </c>
      <c r="E58" s="318">
        <f t="shared" si="12"/>
        <v>45</v>
      </c>
      <c r="F58" s="228">
        <v>15</v>
      </c>
      <c r="G58" s="228">
        <v>15</v>
      </c>
      <c r="H58" s="228">
        <v>15</v>
      </c>
      <c r="I58" s="228">
        <v>0</v>
      </c>
      <c r="J58" s="228">
        <v>75</v>
      </c>
      <c r="K58" s="228">
        <v>3</v>
      </c>
    </row>
    <row r="59" spans="1:11" ht="15.75">
      <c r="A59" s="6">
        <v>6.7</v>
      </c>
      <c r="B59" s="220" t="s">
        <v>68</v>
      </c>
      <c r="C59" s="203" t="str">
        <f>"0912-7LEK-C"&amp;A59&amp;"-"&amp;UPPER(LEFT(B59,1))&amp;""</f>
        <v>0912-7LEK-C6.7-O</v>
      </c>
      <c r="D59" s="227">
        <v>9</v>
      </c>
      <c r="E59" s="318">
        <f t="shared" si="12"/>
        <v>45</v>
      </c>
      <c r="F59" s="228">
        <v>15</v>
      </c>
      <c r="G59" s="228">
        <v>15</v>
      </c>
      <c r="H59" s="228">
        <v>15</v>
      </c>
      <c r="I59" s="228">
        <v>0</v>
      </c>
      <c r="J59" s="228">
        <v>75</v>
      </c>
      <c r="K59" s="228">
        <v>3</v>
      </c>
    </row>
    <row r="60" spans="1:11" ht="18.75" customHeight="1">
      <c r="A60" s="6">
        <v>6.8</v>
      </c>
      <c r="B60" s="220" t="s">
        <v>69</v>
      </c>
      <c r="C60" s="203" t="str">
        <f>"0912-7LEK-C"&amp;A60&amp;"-"&amp;UPPER(LEFT(B60,1))&amp;"R"</f>
        <v>0912-7LEK-C6.8-MR</v>
      </c>
      <c r="D60" s="227" t="s">
        <v>130</v>
      </c>
      <c r="E60" s="318">
        <f t="shared" si="12"/>
        <v>40</v>
      </c>
      <c r="F60" s="228">
        <v>15</v>
      </c>
      <c r="G60" s="228">
        <v>10</v>
      </c>
      <c r="H60" s="228">
        <v>15</v>
      </c>
      <c r="I60" s="228">
        <v>0</v>
      </c>
      <c r="J60" s="228">
        <v>50</v>
      </c>
      <c r="K60" s="228">
        <v>2</v>
      </c>
    </row>
    <row r="61" spans="1:11" ht="15.75">
      <c r="A61" s="6">
        <v>6.9</v>
      </c>
      <c r="B61" s="220" t="s">
        <v>70</v>
      </c>
      <c r="C61" s="203" t="str">
        <f>"0912-7LEK-C"&amp;A61&amp;"-"&amp;UPPER(LEFT(B61,1))&amp;"iP"</f>
        <v>0912-7LEK-C6.9-GiP</v>
      </c>
      <c r="D61" s="227" t="s">
        <v>247</v>
      </c>
      <c r="E61" s="318">
        <f t="shared" si="12"/>
        <v>110</v>
      </c>
      <c r="F61" s="228">
        <f>'V rok'!G27+'V rok'!P27</f>
        <v>30</v>
      </c>
      <c r="G61" s="228">
        <f>'V rok'!I27+'V rok'!R27</f>
        <v>35</v>
      </c>
      <c r="H61" s="228">
        <f>'V rok'!K27+'V rok'!T27</f>
        <v>45</v>
      </c>
      <c r="I61" s="228">
        <v>0</v>
      </c>
      <c r="J61" s="228">
        <v>150</v>
      </c>
      <c r="K61" s="228">
        <f>'V rok'!O27+'V rok'!X27</f>
        <v>6</v>
      </c>
    </row>
    <row r="62" spans="1:11" ht="15.75">
      <c r="A62" s="219">
        <v>6.1</v>
      </c>
      <c r="B62" s="220" t="s">
        <v>71</v>
      </c>
      <c r="C62" s="203" t="str">
        <f>"0912-7LEK-C"&amp;A62&amp;"-"&amp;UPPER(LEFT(B62,1))&amp;""</f>
        <v>0912-7LEK-C6.1-O</v>
      </c>
      <c r="D62" s="227">
        <v>10</v>
      </c>
      <c r="E62" s="318">
        <f t="shared" si="12"/>
        <v>40</v>
      </c>
      <c r="F62" s="228">
        <v>15</v>
      </c>
      <c r="G62" s="228">
        <v>10</v>
      </c>
      <c r="H62" s="228">
        <v>15</v>
      </c>
      <c r="I62" s="228">
        <v>0</v>
      </c>
      <c r="J62" s="228">
        <v>50</v>
      </c>
      <c r="K62" s="228">
        <v>2</v>
      </c>
    </row>
    <row r="63" spans="1:11" ht="15.75">
      <c r="A63" s="219">
        <v>6.11</v>
      </c>
      <c r="B63" s="220" t="s">
        <v>72</v>
      </c>
      <c r="C63" s="203" t="str">
        <f>"0912-7LEK-C"&amp;A63&amp;"-"&amp;UPPER(LEFT(B63,1))&amp;""</f>
        <v>0912-7LEK-C6.11-N</v>
      </c>
      <c r="D63" s="227">
        <v>10</v>
      </c>
      <c r="E63" s="318">
        <f t="shared" si="12"/>
        <v>45</v>
      </c>
      <c r="F63" s="228">
        <v>15</v>
      </c>
      <c r="G63" s="228">
        <v>15</v>
      </c>
      <c r="H63" s="228">
        <v>15</v>
      </c>
      <c r="I63" s="228">
        <v>0</v>
      </c>
      <c r="J63" s="228">
        <v>50</v>
      </c>
      <c r="K63" s="228">
        <v>2</v>
      </c>
    </row>
    <row r="64" spans="1:11" ht="15.75">
      <c r="A64" s="219">
        <v>6.12</v>
      </c>
      <c r="B64" s="220" t="s">
        <v>73</v>
      </c>
      <c r="C64" s="203" t="str">
        <f>"0912-7LEK-C"&amp;A64&amp;"-"&amp;UPPER(LEFT(B64,1))&amp;""</f>
        <v>0912-7LEK-C6.12-T</v>
      </c>
      <c r="D64" s="227" t="s">
        <v>130</v>
      </c>
      <c r="E64" s="318">
        <f t="shared" si="12"/>
        <v>15</v>
      </c>
      <c r="F64" s="228">
        <v>15</v>
      </c>
      <c r="G64" s="228">
        <v>0</v>
      </c>
      <c r="H64" s="228">
        <v>0</v>
      </c>
      <c r="I64" s="228">
        <v>0</v>
      </c>
      <c r="J64" s="228">
        <v>25</v>
      </c>
      <c r="K64" s="228">
        <v>1</v>
      </c>
    </row>
    <row r="65" spans="1:11" ht="15.75">
      <c r="A65" s="219">
        <v>6.13</v>
      </c>
      <c r="B65" s="220" t="s">
        <v>74</v>
      </c>
      <c r="C65" s="203" t="str">
        <f>"0912-7LEK-C"&amp;A65&amp;"-"&amp;UPPER(LEFT(B65,1))&amp;"O"</f>
        <v>0912-7LEK-C6.13-DO</v>
      </c>
      <c r="D65" s="227">
        <v>8</v>
      </c>
      <c r="E65" s="318">
        <f t="shared" si="12"/>
        <v>55</v>
      </c>
      <c r="F65" s="228">
        <v>15</v>
      </c>
      <c r="G65" s="228">
        <v>15</v>
      </c>
      <c r="H65" s="228">
        <v>25</v>
      </c>
      <c r="I65" s="228">
        <v>0</v>
      </c>
      <c r="J65" s="228">
        <v>75</v>
      </c>
      <c r="K65" s="228">
        <v>3</v>
      </c>
    </row>
    <row r="66" spans="1:11">
      <c r="A66" s="592" t="s">
        <v>9</v>
      </c>
      <c r="B66" s="593"/>
      <c r="C66" s="593"/>
      <c r="D66" s="594"/>
      <c r="E66" s="239">
        <f>SUM(E53:E65)</f>
        <v>900</v>
      </c>
      <c r="F66" s="239">
        <f>SUM(F53:F65)</f>
        <v>300</v>
      </c>
      <c r="G66" s="239">
        <f>SUM(G53:G65)</f>
        <v>275</v>
      </c>
      <c r="H66" s="239">
        <f>SUM(H53:H65)</f>
        <v>325</v>
      </c>
      <c r="I66" s="239">
        <f t="shared" ref="I66" si="13">SUM(I53:I65)</f>
        <v>0</v>
      </c>
      <c r="J66" s="239">
        <f>SUM(J53:J65)</f>
        <v>1250</v>
      </c>
      <c r="K66" s="239">
        <f>SUM(K53:K65)</f>
        <v>50</v>
      </c>
    </row>
    <row r="67" spans="1:11" s="244" customFormat="1">
      <c r="A67" s="585" t="s">
        <v>27</v>
      </c>
      <c r="B67" s="586"/>
      <c r="C67" s="586"/>
      <c r="D67" s="586"/>
      <c r="E67" s="586"/>
      <c r="F67" s="586"/>
      <c r="G67" s="586"/>
      <c r="H67" s="586"/>
      <c r="I67" s="586"/>
      <c r="J67" s="586"/>
      <c r="K67" s="587"/>
    </row>
    <row r="68" spans="1:11" ht="15.75">
      <c r="A68" s="202">
        <v>7.1</v>
      </c>
      <c r="B68" s="243" t="s">
        <v>75</v>
      </c>
      <c r="C68" s="203" t="str">
        <f>"0912-7LEK-C"&amp;A68&amp;"-"&amp;UPPER(LEFT(B68,1))</f>
        <v>0912-7LEK-C7.1-H</v>
      </c>
      <c r="D68" s="241" t="s">
        <v>243</v>
      </c>
      <c r="E68" s="242">
        <f>SUM(F68:I68)</f>
        <v>15</v>
      </c>
      <c r="F68" s="242">
        <v>15</v>
      </c>
      <c r="G68" s="242">
        <v>0</v>
      </c>
      <c r="H68" s="242">
        <v>0</v>
      </c>
      <c r="I68" s="242">
        <v>0</v>
      </c>
      <c r="J68" s="242">
        <v>25</v>
      </c>
      <c r="K68" s="242">
        <v>1</v>
      </c>
    </row>
    <row r="69" spans="1:11" ht="15.75">
      <c r="A69" s="6">
        <v>7.2</v>
      </c>
      <c r="B69" s="220" t="s">
        <v>76</v>
      </c>
      <c r="C69" s="17" t="str">
        <f t="shared" ref="C69:C72" si="14">"0912-7LEK-C"&amp;A69&amp;"-"&amp;UPPER(LEFT(B69,1))</f>
        <v>0912-7LEK-C7.2-E</v>
      </c>
      <c r="D69" s="227" t="s">
        <v>243</v>
      </c>
      <c r="E69" s="242">
        <f t="shared" ref="E69:E72" si="15">SUM(F69:I69)</f>
        <v>15</v>
      </c>
      <c r="F69" s="228">
        <v>15</v>
      </c>
      <c r="G69" s="228">
        <v>0</v>
      </c>
      <c r="H69" s="228">
        <v>0</v>
      </c>
      <c r="I69" s="228">
        <v>0</v>
      </c>
      <c r="J69" s="228">
        <v>25</v>
      </c>
      <c r="K69" s="228">
        <v>1</v>
      </c>
    </row>
    <row r="70" spans="1:11" ht="15.75">
      <c r="A70" s="6">
        <v>7.3</v>
      </c>
      <c r="B70" s="220" t="s">
        <v>77</v>
      </c>
      <c r="C70" s="17" t="str">
        <f t="shared" si="14"/>
        <v>0912-7LEK-C7.3-Z</v>
      </c>
      <c r="D70" s="227" t="s">
        <v>145</v>
      </c>
      <c r="E70" s="242">
        <f t="shared" si="15"/>
        <v>15</v>
      </c>
      <c r="F70" s="228">
        <v>15</v>
      </c>
      <c r="G70" s="228">
        <v>0</v>
      </c>
      <c r="H70" s="228">
        <v>0</v>
      </c>
      <c r="I70" s="228">
        <v>0</v>
      </c>
      <c r="J70" s="228">
        <v>25</v>
      </c>
      <c r="K70" s="228">
        <v>1</v>
      </c>
    </row>
    <row r="71" spans="1:11" ht="15.75">
      <c r="A71" s="6">
        <v>7.4</v>
      </c>
      <c r="B71" s="220" t="s">
        <v>78</v>
      </c>
      <c r="C71" s="17" t="str">
        <f t="shared" si="14"/>
        <v>0912-7LEK-C7.4-P</v>
      </c>
      <c r="D71" s="227" t="s">
        <v>130</v>
      </c>
      <c r="E71" s="242">
        <f t="shared" si="15"/>
        <v>15</v>
      </c>
      <c r="F71" s="228">
        <v>15</v>
      </c>
      <c r="G71" s="228">
        <v>0</v>
      </c>
      <c r="H71" s="228">
        <v>0</v>
      </c>
      <c r="I71" s="228">
        <v>0</v>
      </c>
      <c r="J71" s="228">
        <v>25</v>
      </c>
      <c r="K71" s="228">
        <v>1</v>
      </c>
    </row>
    <row r="72" spans="1:11" ht="15.75">
      <c r="A72" s="6">
        <v>7.5</v>
      </c>
      <c r="B72" s="220" t="s">
        <v>79</v>
      </c>
      <c r="C72" s="17" t="str">
        <f t="shared" si="14"/>
        <v>0912-7LEK-C7.5-M</v>
      </c>
      <c r="D72" s="227">
        <v>10</v>
      </c>
      <c r="E72" s="242">
        <f t="shared" si="15"/>
        <v>40</v>
      </c>
      <c r="F72" s="228">
        <v>20</v>
      </c>
      <c r="G72" s="228">
        <v>15</v>
      </c>
      <c r="H72" s="228">
        <v>5</v>
      </c>
      <c r="I72" s="228">
        <v>0</v>
      </c>
      <c r="J72" s="228">
        <v>55</v>
      </c>
      <c r="K72" s="228">
        <v>2</v>
      </c>
    </row>
    <row r="73" spans="1:11">
      <c r="A73" s="592" t="s">
        <v>9</v>
      </c>
      <c r="B73" s="593"/>
      <c r="C73" s="593"/>
      <c r="D73" s="594"/>
      <c r="E73" s="239">
        <f>SUM(E68:E72)</f>
        <v>100</v>
      </c>
      <c r="F73" s="239">
        <f>SUM(F68:F72)</f>
        <v>80</v>
      </c>
      <c r="G73" s="239">
        <f>SUM(G68:G72)</f>
        <v>15</v>
      </c>
      <c r="H73" s="239">
        <f>SUM(H68:H72)</f>
        <v>5</v>
      </c>
      <c r="I73" s="239">
        <f t="shared" ref="I73" si="16">SUM(I68:I72)</f>
        <v>0</v>
      </c>
      <c r="J73" s="239">
        <f>SUM(J68:J72)</f>
        <v>155</v>
      </c>
      <c r="K73" s="239">
        <f>SUM(K68:K72)</f>
        <v>6</v>
      </c>
    </row>
    <row r="74" spans="1:11">
      <c r="A74" s="585" t="s">
        <v>28</v>
      </c>
      <c r="B74" s="586"/>
      <c r="C74" s="586"/>
      <c r="D74" s="586"/>
      <c r="E74" s="586"/>
      <c r="F74" s="586"/>
      <c r="G74" s="586"/>
      <c r="H74" s="586"/>
      <c r="I74" s="586"/>
      <c r="J74" s="586"/>
      <c r="K74" s="587"/>
    </row>
    <row r="75" spans="1:11" ht="15.75">
      <c r="A75" s="202">
        <v>8.1</v>
      </c>
      <c r="B75" s="243" t="s">
        <v>80</v>
      </c>
      <c r="C75" s="203" t="str">
        <f>"0912-7LEK-C"&amp;A75&amp;"-"&amp;UPPER(LEFT(B75,1))</f>
        <v>0912-7LEK-C8.1-C</v>
      </c>
      <c r="D75" s="241" t="s">
        <v>134</v>
      </c>
      <c r="E75" s="242">
        <f>SUM(F75:I75)</f>
        <v>240</v>
      </c>
      <c r="F75" s="242">
        <v>0</v>
      </c>
      <c r="G75" s="242">
        <v>0</v>
      </c>
      <c r="H75" s="242">
        <v>240</v>
      </c>
      <c r="I75" s="242">
        <v>0</v>
      </c>
      <c r="J75" s="242">
        <v>400</v>
      </c>
      <c r="K75" s="242">
        <v>16</v>
      </c>
    </row>
    <row r="76" spans="1:11" ht="15.75">
      <c r="A76" s="6">
        <v>8.1999999999999993</v>
      </c>
      <c r="B76" s="220" t="s">
        <v>51</v>
      </c>
      <c r="C76" s="17" t="str">
        <f t="shared" ref="C76:C82" si="17">"0912-7LEK-C"&amp;A76&amp;"-"&amp;UPPER(LEFT(B76,1))</f>
        <v>0912-7LEK-C8.2-P</v>
      </c>
      <c r="D76" s="227" t="s">
        <v>134</v>
      </c>
      <c r="E76" s="242">
        <f t="shared" ref="E76:E82" si="18">SUM(F76:I76)</f>
        <v>120</v>
      </c>
      <c r="F76" s="228">
        <v>0</v>
      </c>
      <c r="G76" s="228">
        <v>0</v>
      </c>
      <c r="H76" s="228">
        <v>120</v>
      </c>
      <c r="I76" s="228">
        <v>0</v>
      </c>
      <c r="J76" s="228">
        <v>200</v>
      </c>
      <c r="K76" s="228">
        <v>8</v>
      </c>
    </row>
    <row r="77" spans="1:11" ht="15.75">
      <c r="A77" s="6">
        <v>8.3000000000000007</v>
      </c>
      <c r="B77" s="220" t="s">
        <v>81</v>
      </c>
      <c r="C77" s="17" t="str">
        <f t="shared" si="17"/>
        <v>0912-7LEK-C8.3-C</v>
      </c>
      <c r="D77" s="227" t="s">
        <v>250</v>
      </c>
      <c r="E77" s="242">
        <f t="shared" si="18"/>
        <v>120</v>
      </c>
      <c r="F77" s="228">
        <v>0</v>
      </c>
      <c r="G77" s="228">
        <v>0</v>
      </c>
      <c r="H77" s="228">
        <v>120</v>
      </c>
      <c r="I77" s="228">
        <v>0</v>
      </c>
      <c r="J77" s="228">
        <v>200</v>
      </c>
      <c r="K77" s="228">
        <v>8</v>
      </c>
    </row>
    <row r="78" spans="1:11" ht="15.75">
      <c r="A78" s="6">
        <v>8.4</v>
      </c>
      <c r="B78" s="220" t="s">
        <v>70</v>
      </c>
      <c r="C78" s="17" t="str">
        <f t="shared" si="17"/>
        <v>0912-7LEK-C8.4-G</v>
      </c>
      <c r="D78" s="227" t="s">
        <v>135</v>
      </c>
      <c r="E78" s="242">
        <f t="shared" si="18"/>
        <v>60</v>
      </c>
      <c r="F78" s="228">
        <v>0</v>
      </c>
      <c r="G78" s="228">
        <v>0</v>
      </c>
      <c r="H78" s="228">
        <v>60</v>
      </c>
      <c r="I78" s="228">
        <v>0</v>
      </c>
      <c r="J78" s="228">
        <v>100</v>
      </c>
      <c r="K78" s="228">
        <v>4</v>
      </c>
    </row>
    <row r="79" spans="1:11" ht="15.75">
      <c r="A79" s="6">
        <v>8.5</v>
      </c>
      <c r="B79" s="220" t="s">
        <v>54</v>
      </c>
      <c r="C79" s="17" t="str">
        <f t="shared" si="17"/>
        <v>0912-7LEK-C8.5-P</v>
      </c>
      <c r="D79" s="227" t="s">
        <v>134</v>
      </c>
      <c r="E79" s="242">
        <f t="shared" si="18"/>
        <v>60</v>
      </c>
      <c r="F79" s="228">
        <v>0</v>
      </c>
      <c r="G79" s="228">
        <v>0</v>
      </c>
      <c r="H79" s="228">
        <v>60</v>
      </c>
      <c r="I79" s="228">
        <v>0</v>
      </c>
      <c r="J79" s="228">
        <v>100</v>
      </c>
      <c r="K79" s="228">
        <v>4</v>
      </c>
    </row>
    <row r="80" spans="1:11" ht="15.75">
      <c r="A80" s="6">
        <v>8.6</v>
      </c>
      <c r="B80" s="220" t="s">
        <v>82</v>
      </c>
      <c r="C80" s="17" t="str">
        <f>"0912-7LEK-C"&amp;A80&amp;"-"&amp;UPPER(LEFT(B80,1))&amp;"R"</f>
        <v>0912-7LEK-C8.6-MR</v>
      </c>
      <c r="D80" s="227" t="s">
        <v>135</v>
      </c>
      <c r="E80" s="242">
        <f t="shared" si="18"/>
        <v>60</v>
      </c>
      <c r="F80" s="228">
        <v>0</v>
      </c>
      <c r="G80" s="228">
        <v>0</v>
      </c>
      <c r="H80" s="228">
        <v>60</v>
      </c>
      <c r="I80" s="228">
        <v>0</v>
      </c>
      <c r="J80" s="228">
        <v>100</v>
      </c>
      <c r="K80" s="228">
        <v>4</v>
      </c>
    </row>
    <row r="81" spans="1:11" ht="15.75">
      <c r="A81" s="6">
        <v>8.6999999999999993</v>
      </c>
      <c r="B81" s="220" t="s">
        <v>56</v>
      </c>
      <c r="C81" s="17" t="str">
        <f t="shared" si="17"/>
        <v>0912-7LEK-C8.7-M</v>
      </c>
      <c r="D81" s="227" t="s">
        <v>135</v>
      </c>
      <c r="E81" s="242">
        <f t="shared" si="18"/>
        <v>60</v>
      </c>
      <c r="F81" s="228">
        <v>0</v>
      </c>
      <c r="G81" s="228">
        <v>0</v>
      </c>
      <c r="H81" s="228">
        <v>60</v>
      </c>
      <c r="I81" s="228">
        <v>0</v>
      </c>
      <c r="J81" s="228">
        <v>100</v>
      </c>
      <c r="K81" s="228">
        <v>4</v>
      </c>
    </row>
    <row r="82" spans="1:11" ht="15.75">
      <c r="A82" s="6">
        <v>8.8000000000000007</v>
      </c>
      <c r="B82" s="220" t="s">
        <v>33</v>
      </c>
      <c r="C82" s="17" t="str">
        <f t="shared" si="17"/>
        <v>0912-7LEK-C8.8-S</v>
      </c>
      <c r="D82" s="227" t="s">
        <v>135</v>
      </c>
      <c r="E82" s="242">
        <f t="shared" si="18"/>
        <v>180</v>
      </c>
      <c r="F82" s="228">
        <v>0</v>
      </c>
      <c r="G82" s="228">
        <v>0</v>
      </c>
      <c r="H82" s="228">
        <v>180</v>
      </c>
      <c r="I82" s="228">
        <v>0</v>
      </c>
      <c r="J82" s="228">
        <v>300</v>
      </c>
      <c r="K82" s="228">
        <v>12</v>
      </c>
    </row>
    <row r="83" spans="1:11">
      <c r="A83" s="592" t="s">
        <v>9</v>
      </c>
      <c r="B83" s="593"/>
      <c r="C83" s="593"/>
      <c r="D83" s="594"/>
      <c r="E83" s="239">
        <f>SUM(E75:E82)</f>
        <v>900</v>
      </c>
      <c r="F83" s="239">
        <f t="shared" ref="F83:I83" si="19">SUM(F75:F82)</f>
        <v>0</v>
      </c>
      <c r="G83" s="239">
        <f t="shared" si="19"/>
        <v>0</v>
      </c>
      <c r="H83" s="239">
        <f>SUM(H75:H82)</f>
        <v>900</v>
      </c>
      <c r="I83" s="239">
        <f t="shared" si="19"/>
        <v>0</v>
      </c>
      <c r="J83" s="239">
        <f>SUM(J75:J82)</f>
        <v>1500</v>
      </c>
      <c r="K83" s="239">
        <f>SUM(K75:K82)</f>
        <v>60</v>
      </c>
    </row>
    <row r="84" spans="1:11">
      <c r="A84" s="585" t="s">
        <v>29</v>
      </c>
      <c r="B84" s="586"/>
      <c r="C84" s="586"/>
      <c r="D84" s="586"/>
      <c r="E84" s="586"/>
      <c r="F84" s="586"/>
      <c r="G84" s="586"/>
      <c r="H84" s="586"/>
      <c r="I84" s="586"/>
      <c r="J84" s="586"/>
      <c r="K84" s="587"/>
    </row>
    <row r="85" spans="1:11" ht="15.75">
      <c r="A85" s="202">
        <v>9.1</v>
      </c>
      <c r="B85" s="243" t="s">
        <v>83</v>
      </c>
      <c r="C85" s="203" t="str">
        <f t="shared" ref="C85:C92" si="20">"0912-7LEK-C"&amp;A85&amp;"-"&amp;UPPER(LEFT(B85,1))</f>
        <v>0912-7LEK-C9.1-O</v>
      </c>
      <c r="D85" s="241" t="s">
        <v>242</v>
      </c>
      <c r="E85" s="242">
        <f>SUM(F85:I85)</f>
        <v>120</v>
      </c>
      <c r="F85" s="242">
        <v>0</v>
      </c>
      <c r="G85" s="242">
        <v>0</v>
      </c>
      <c r="H85" s="248">
        <v>120</v>
      </c>
      <c r="I85" s="242">
        <v>0</v>
      </c>
      <c r="J85" s="242">
        <v>120</v>
      </c>
      <c r="K85" s="242">
        <v>4</v>
      </c>
    </row>
    <row r="86" spans="1:11" ht="15.75">
      <c r="A86" s="6">
        <v>9.1999999999999993</v>
      </c>
      <c r="B86" s="220" t="s">
        <v>84</v>
      </c>
      <c r="C86" s="17" t="str">
        <f t="shared" si="20"/>
        <v>0912-7LEK-C9.2-L</v>
      </c>
      <c r="D86" s="227" t="s">
        <v>145</v>
      </c>
      <c r="E86" s="242">
        <f t="shared" ref="E86:E92" si="21">SUM(F86:I86)</f>
        <v>90</v>
      </c>
      <c r="F86" s="228">
        <v>0</v>
      </c>
      <c r="G86" s="228">
        <v>0</v>
      </c>
      <c r="H86" s="234">
        <v>90</v>
      </c>
      <c r="I86" s="228">
        <v>0</v>
      </c>
      <c r="J86" s="228">
        <v>90</v>
      </c>
      <c r="K86" s="228">
        <v>3</v>
      </c>
    </row>
    <row r="87" spans="1:11" ht="15.75">
      <c r="A87" s="6">
        <v>9.3000000000000007</v>
      </c>
      <c r="B87" s="220" t="s">
        <v>85</v>
      </c>
      <c r="C87" s="17" t="str">
        <f t="shared" si="20"/>
        <v>0912-7LEK-C9.3-P</v>
      </c>
      <c r="D87" s="227" t="s">
        <v>145</v>
      </c>
      <c r="E87" s="242">
        <f t="shared" si="21"/>
        <v>30</v>
      </c>
      <c r="F87" s="228">
        <v>0</v>
      </c>
      <c r="G87" s="228">
        <v>0</v>
      </c>
      <c r="H87" s="234">
        <v>30</v>
      </c>
      <c r="I87" s="228">
        <v>0</v>
      </c>
      <c r="J87" s="228">
        <v>30</v>
      </c>
      <c r="K87" s="228">
        <v>1</v>
      </c>
    </row>
    <row r="88" spans="1:11" ht="15.75">
      <c r="A88" s="6">
        <v>9.4</v>
      </c>
      <c r="B88" s="220" t="s">
        <v>80</v>
      </c>
      <c r="C88" s="17" t="str">
        <f t="shared" si="20"/>
        <v>0912-7LEK-C9.4-C</v>
      </c>
      <c r="D88" s="227" t="s">
        <v>148</v>
      </c>
      <c r="E88" s="242">
        <f t="shared" si="21"/>
        <v>120</v>
      </c>
      <c r="F88" s="228">
        <v>0</v>
      </c>
      <c r="G88" s="228">
        <v>0</v>
      </c>
      <c r="H88" s="234">
        <v>120</v>
      </c>
      <c r="I88" s="228">
        <v>0</v>
      </c>
      <c r="J88" s="228">
        <v>120</v>
      </c>
      <c r="K88" s="228">
        <v>4</v>
      </c>
    </row>
    <row r="89" spans="1:11" ht="15.75">
      <c r="A89" s="6">
        <v>9.5</v>
      </c>
      <c r="B89" s="220" t="s">
        <v>86</v>
      </c>
      <c r="C89" s="17" t="str">
        <f t="shared" si="20"/>
        <v>0912-7LEK-C9.5-I</v>
      </c>
      <c r="D89" s="227" t="s">
        <v>146</v>
      </c>
      <c r="E89" s="242">
        <f t="shared" si="21"/>
        <v>60</v>
      </c>
      <c r="F89" s="228">
        <v>0</v>
      </c>
      <c r="G89" s="228">
        <v>0</v>
      </c>
      <c r="H89" s="234">
        <v>60</v>
      </c>
      <c r="I89" s="228">
        <v>0</v>
      </c>
      <c r="J89" s="228">
        <v>60</v>
      </c>
      <c r="K89" s="228">
        <v>2</v>
      </c>
    </row>
    <row r="90" spans="1:11" ht="15.75">
      <c r="A90" s="6">
        <v>9.6</v>
      </c>
      <c r="B90" s="220" t="s">
        <v>51</v>
      </c>
      <c r="C90" s="17" t="str">
        <f t="shared" si="20"/>
        <v>0912-7LEK-C9.6-P</v>
      </c>
      <c r="D90" s="227" t="s">
        <v>146</v>
      </c>
      <c r="E90" s="242">
        <f t="shared" si="21"/>
        <v>60</v>
      </c>
      <c r="F90" s="228">
        <v>0</v>
      </c>
      <c r="G90" s="228">
        <v>0</v>
      </c>
      <c r="H90" s="234">
        <v>60</v>
      </c>
      <c r="I90" s="228">
        <v>0</v>
      </c>
      <c r="J90" s="228">
        <v>60</v>
      </c>
      <c r="K90" s="228">
        <v>2</v>
      </c>
    </row>
    <row r="91" spans="1:11" ht="15.75">
      <c r="A91" s="6">
        <v>9.6999999999999993</v>
      </c>
      <c r="B91" s="220" t="s">
        <v>81</v>
      </c>
      <c r="C91" s="17" t="str">
        <f t="shared" si="20"/>
        <v>0912-7LEK-C9.7-C</v>
      </c>
      <c r="D91" s="227" t="s">
        <v>133</v>
      </c>
      <c r="E91" s="242">
        <f t="shared" si="21"/>
        <v>60</v>
      </c>
      <c r="F91" s="228">
        <v>0</v>
      </c>
      <c r="G91" s="228">
        <v>0</v>
      </c>
      <c r="H91" s="234">
        <v>60</v>
      </c>
      <c r="I91" s="228">
        <v>0</v>
      </c>
      <c r="J91" s="228">
        <v>60</v>
      </c>
      <c r="K91" s="228">
        <v>2</v>
      </c>
    </row>
    <row r="92" spans="1:11" ht="15.75">
      <c r="A92" s="6">
        <v>9.8000000000000007</v>
      </c>
      <c r="B92" s="220" t="s">
        <v>70</v>
      </c>
      <c r="C92" s="17" t="str">
        <f t="shared" si="20"/>
        <v>0912-7LEK-C9.8-G</v>
      </c>
      <c r="D92" s="227" t="s">
        <v>133</v>
      </c>
      <c r="E92" s="242">
        <f t="shared" si="21"/>
        <v>60</v>
      </c>
      <c r="F92" s="228">
        <v>0</v>
      </c>
      <c r="G92" s="228">
        <v>0</v>
      </c>
      <c r="H92" s="234">
        <v>60</v>
      </c>
      <c r="I92" s="228">
        <v>0</v>
      </c>
      <c r="J92" s="228">
        <v>60</v>
      </c>
      <c r="K92" s="228">
        <v>2</v>
      </c>
    </row>
    <row r="93" spans="1:11">
      <c r="A93" s="601" t="s">
        <v>9</v>
      </c>
      <c r="B93" s="601"/>
      <c r="C93" s="287"/>
      <c r="D93" s="229"/>
      <c r="E93" s="232">
        <f>SUM(E85:E92)</f>
        <v>600</v>
      </c>
      <c r="F93" s="232">
        <f t="shared" ref="F93:I93" si="22">SUM(F85:F92)</f>
        <v>0</v>
      </c>
      <c r="G93" s="232">
        <f t="shared" si="22"/>
        <v>0</v>
      </c>
      <c r="H93" s="232">
        <f>SUM(H85:H92)</f>
        <v>600</v>
      </c>
      <c r="I93" s="232">
        <f t="shared" si="22"/>
        <v>0</v>
      </c>
      <c r="J93" s="232">
        <f>SUM(J85:J92)</f>
        <v>600</v>
      </c>
      <c r="K93" s="232">
        <f>SUM(K85:K92)</f>
        <v>20</v>
      </c>
    </row>
    <row r="94" spans="1:11">
      <c r="A94" s="585" t="s">
        <v>31</v>
      </c>
      <c r="B94" s="586"/>
      <c r="C94" s="586"/>
      <c r="D94" s="586"/>
      <c r="E94" s="586"/>
      <c r="F94" s="586"/>
      <c r="G94" s="586"/>
      <c r="H94" s="586"/>
      <c r="I94" s="586"/>
      <c r="J94" s="586"/>
      <c r="K94" s="587"/>
    </row>
    <row r="95" spans="1:11" ht="15.75">
      <c r="A95" s="6">
        <v>10.199999999999999</v>
      </c>
      <c r="B95" s="220" t="s">
        <v>205</v>
      </c>
      <c r="C95" s="17" t="str">
        <f>"0912-7LEK-A"&amp;A95&amp;"-"&amp;UPPER(LEFT(B95,1))&amp;"O"</f>
        <v>0912-7LEK-A10.2-JO</v>
      </c>
      <c r="D95" s="227" t="s">
        <v>240</v>
      </c>
      <c r="E95" s="228">
        <f>SUM(F95:I95)</f>
        <v>50</v>
      </c>
      <c r="F95" s="228">
        <v>0</v>
      </c>
      <c r="G95" s="228">
        <v>50</v>
      </c>
      <c r="H95" s="228">
        <v>0</v>
      </c>
      <c r="I95" s="228">
        <v>0</v>
      </c>
      <c r="J95" s="228">
        <v>60</v>
      </c>
      <c r="K95" s="228">
        <v>2</v>
      </c>
    </row>
    <row r="96" spans="1:11" ht="15.75">
      <c r="A96" s="6">
        <v>10.3</v>
      </c>
      <c r="B96" s="220" t="s">
        <v>19</v>
      </c>
      <c r="C96" s="17" t="str">
        <f>"0912-7LEK-A"&amp;A96&amp;"-"&amp;UPPER(LEFT(B96,1))&amp;"Ł"</f>
        <v>0912-7LEK-A10.3-JŁ</v>
      </c>
      <c r="D96" s="227" t="s">
        <v>241</v>
      </c>
      <c r="E96" s="228">
        <f t="shared" ref="E96:E101" si="23">SUM(F96:I96)</f>
        <v>30</v>
      </c>
      <c r="F96" s="228">
        <v>0</v>
      </c>
      <c r="G96" s="228">
        <v>30</v>
      </c>
      <c r="H96" s="228">
        <v>0</v>
      </c>
      <c r="I96" s="228">
        <v>0</v>
      </c>
      <c r="J96" s="228">
        <v>30</v>
      </c>
      <c r="K96" s="228">
        <v>1</v>
      </c>
    </row>
    <row r="97" spans="1:11" ht="18.75" customHeight="1">
      <c r="A97" s="6">
        <v>10.4</v>
      </c>
      <c r="B97" s="220" t="s">
        <v>87</v>
      </c>
      <c r="C97" s="17" t="str">
        <f>"0912-7LEK-A"&amp;A97&amp;"-"&amp;UPPER(LEFT(B97,1))&amp;"B"</f>
        <v>0912-7LEK-A10.4-PB</v>
      </c>
      <c r="D97" s="227" t="s">
        <v>241</v>
      </c>
      <c r="E97" s="228">
        <f t="shared" si="23"/>
        <v>2</v>
      </c>
      <c r="F97" s="228">
        <v>0</v>
      </c>
      <c r="G97" s="228">
        <v>2</v>
      </c>
      <c r="H97" s="228">
        <v>0</v>
      </c>
      <c r="I97" s="228">
        <v>0</v>
      </c>
      <c r="J97" s="228">
        <v>2</v>
      </c>
      <c r="K97" s="228">
        <v>0</v>
      </c>
    </row>
    <row r="98" spans="1:11" ht="15.75" customHeight="1">
      <c r="A98" s="6">
        <v>10.5</v>
      </c>
      <c r="B98" s="220" t="s">
        <v>30</v>
      </c>
      <c r="C98" s="17" t="str">
        <f>"0912-7LEK-A"&amp;A98&amp;"-"&amp;UPPER(LEFT(B98,1))&amp;"HP"</f>
        <v>0912-7LEK-A10.5-BHP</v>
      </c>
      <c r="D98" s="227" t="s">
        <v>241</v>
      </c>
      <c r="E98" s="228">
        <f t="shared" si="23"/>
        <v>5</v>
      </c>
      <c r="F98" s="228">
        <v>5</v>
      </c>
      <c r="G98" s="228">
        <v>0</v>
      </c>
      <c r="H98" s="228">
        <v>0</v>
      </c>
      <c r="I98" s="228">
        <v>0</v>
      </c>
      <c r="J98" s="228">
        <v>5</v>
      </c>
      <c r="K98" s="228">
        <v>0</v>
      </c>
    </row>
    <row r="99" spans="1:11" ht="18.75" customHeight="1">
      <c r="A99" s="6">
        <v>10.6</v>
      </c>
      <c r="B99" s="220" t="s">
        <v>109</v>
      </c>
      <c r="C99" s="17" t="str">
        <f>"0912-7LEK-A"&amp;A99&amp;"-"&amp;UPPER(LEFT(B99,1))&amp;"F"</f>
        <v>0912-7LEK-A10.6-WF</v>
      </c>
      <c r="D99" s="227" t="s">
        <v>124</v>
      </c>
      <c r="E99" s="228">
        <f t="shared" si="23"/>
        <v>180</v>
      </c>
      <c r="F99" s="228">
        <v>0</v>
      </c>
      <c r="G99" s="228">
        <v>180</v>
      </c>
      <c r="H99" s="228">
        <v>0</v>
      </c>
      <c r="I99" s="228">
        <v>0</v>
      </c>
      <c r="J99" s="228">
        <v>180</v>
      </c>
      <c r="K99" s="228">
        <v>0</v>
      </c>
    </row>
    <row r="100" spans="1:11">
      <c r="A100" s="608">
        <v>10.7</v>
      </c>
      <c r="B100" s="602" t="s">
        <v>123</v>
      </c>
      <c r="C100" s="603"/>
      <c r="D100" s="227" t="s">
        <v>243</v>
      </c>
      <c r="E100" s="228">
        <f t="shared" si="23"/>
        <v>30</v>
      </c>
      <c r="F100" s="228">
        <v>0</v>
      </c>
      <c r="G100" s="228">
        <v>30</v>
      </c>
      <c r="H100" s="228">
        <v>0</v>
      </c>
      <c r="I100" s="228">
        <v>0</v>
      </c>
      <c r="J100" s="228">
        <v>60</v>
      </c>
      <c r="K100" s="228">
        <v>2</v>
      </c>
    </row>
    <row r="101" spans="1:11">
      <c r="A101" s="609"/>
      <c r="B101" s="604"/>
      <c r="C101" s="605"/>
      <c r="D101" s="227" t="s">
        <v>145</v>
      </c>
      <c r="E101" s="228">
        <f t="shared" si="23"/>
        <v>30</v>
      </c>
      <c r="F101" s="228">
        <v>0</v>
      </c>
      <c r="G101" s="228">
        <v>30</v>
      </c>
      <c r="H101" s="228">
        <v>0</v>
      </c>
      <c r="I101" s="228">
        <v>0</v>
      </c>
      <c r="J101" s="228">
        <v>60</v>
      </c>
      <c r="K101" s="228">
        <v>2</v>
      </c>
    </row>
    <row r="102" spans="1:11">
      <c r="A102" s="601" t="s">
        <v>9</v>
      </c>
      <c r="B102" s="601"/>
      <c r="C102" s="287"/>
      <c r="D102" s="229"/>
      <c r="E102" s="232">
        <f t="shared" ref="E102:K102" si="24">SUM(E95:E101)</f>
        <v>327</v>
      </c>
      <c r="F102" s="232">
        <f t="shared" si="24"/>
        <v>5</v>
      </c>
      <c r="G102" s="232">
        <f t="shared" si="24"/>
        <v>322</v>
      </c>
      <c r="H102" s="232">
        <f t="shared" si="24"/>
        <v>0</v>
      </c>
      <c r="I102" s="232">
        <f t="shared" si="24"/>
        <v>0</v>
      </c>
      <c r="J102" s="232">
        <f t="shared" si="24"/>
        <v>397</v>
      </c>
      <c r="K102" s="232">
        <f t="shared" si="24"/>
        <v>7</v>
      </c>
    </row>
    <row r="103" spans="1:11">
      <c r="A103" s="585" t="s">
        <v>238</v>
      </c>
      <c r="B103" s="586"/>
      <c r="C103" s="586"/>
      <c r="D103" s="586"/>
      <c r="E103" s="586"/>
      <c r="F103" s="586"/>
      <c r="G103" s="586"/>
      <c r="H103" s="586"/>
      <c r="I103" s="586"/>
      <c r="J103" s="586"/>
      <c r="K103" s="587"/>
    </row>
    <row r="104" spans="1:11" ht="15.75">
      <c r="A104" s="277">
        <v>1</v>
      </c>
      <c r="B104" s="226" t="s">
        <v>118</v>
      </c>
      <c r="C104" s="17"/>
      <c r="D104" s="227" t="s">
        <v>241</v>
      </c>
      <c r="E104" s="228">
        <f>SUM(F104:I104)</f>
        <v>15</v>
      </c>
      <c r="F104" s="228">
        <f>'I rok'!G39+'I rok'!P39</f>
        <v>15</v>
      </c>
      <c r="G104" s="228">
        <f>'I rok'!I39+'I rok'!R39</f>
        <v>0</v>
      </c>
      <c r="H104" s="228">
        <v>0</v>
      </c>
      <c r="I104" s="228">
        <v>0</v>
      </c>
      <c r="J104" s="228">
        <f>'I rok'!G39+'I rok'!H39+'I rok'!I39+'I rok'!J39+'I rok'!K39+'I rok'!L39+'I rok'!M39+'I rok'!N39+'I rok'!P39+'I rok'!Q39+'I rok'!R39+'I rok'!S39+'I rok'!T39+'I rok'!U39+'I rok'!V39+'I rok'!W39</f>
        <v>25</v>
      </c>
      <c r="K104" s="228">
        <f>'I rok'!O39+'I rok'!X39</f>
        <v>1</v>
      </c>
    </row>
    <row r="105" spans="1:11" ht="15.75">
      <c r="A105" s="277">
        <v>2</v>
      </c>
      <c r="B105" s="226" t="s">
        <v>118</v>
      </c>
      <c r="C105" s="17"/>
      <c r="D105" s="227" t="s">
        <v>241</v>
      </c>
      <c r="E105" s="228">
        <f t="shared" ref="E105:E128" si="25">SUM(F105:I105)</f>
        <v>15</v>
      </c>
      <c r="F105" s="228">
        <f>'I rok'!G40+'I rok'!P40</f>
        <v>15</v>
      </c>
      <c r="G105" s="228">
        <f>'I rok'!I40+'I rok'!R40</f>
        <v>0</v>
      </c>
      <c r="H105" s="228">
        <v>0</v>
      </c>
      <c r="I105" s="228">
        <v>0</v>
      </c>
      <c r="J105" s="228">
        <f>'I rok'!G40+'I rok'!H40+'I rok'!I40+'I rok'!J40+'I rok'!K40+'I rok'!L40+'I rok'!M40+'I rok'!N40+'I rok'!P40+'I rok'!Q40+'I rok'!R40+'I rok'!S40+'I rok'!T40+'I rok'!U40+'I rok'!V40+'I rok'!W40</f>
        <v>25</v>
      </c>
      <c r="K105" s="228">
        <f>'I rok'!O40+'I rok'!X40</f>
        <v>1</v>
      </c>
    </row>
    <row r="106" spans="1:11" ht="15.75">
      <c r="A106" s="277">
        <v>3</v>
      </c>
      <c r="B106" s="226" t="s">
        <v>118</v>
      </c>
      <c r="C106" s="17"/>
      <c r="D106" s="227" t="s">
        <v>242</v>
      </c>
      <c r="E106" s="228">
        <f t="shared" si="25"/>
        <v>15</v>
      </c>
      <c r="F106" s="228">
        <f>'I rok'!G41+'I rok'!P41</f>
        <v>15</v>
      </c>
      <c r="G106" s="228">
        <f>'I rok'!I41+'I rok'!R41</f>
        <v>0</v>
      </c>
      <c r="H106" s="228">
        <v>0</v>
      </c>
      <c r="I106" s="228">
        <v>0</v>
      </c>
      <c r="J106" s="228">
        <f>'I rok'!G41+'I rok'!H41+'I rok'!I41+'I rok'!J41+'I rok'!K41+'I rok'!L41+'I rok'!M41+'I rok'!N41+'I rok'!P41+'I rok'!Q41+'I rok'!R41+'I rok'!S41+'I rok'!T41+'I rok'!U41+'I rok'!V41+'I rok'!W41</f>
        <v>25</v>
      </c>
      <c r="K106" s="228">
        <f>'I rok'!O41+'I rok'!X41</f>
        <v>1</v>
      </c>
    </row>
    <row r="107" spans="1:11" ht="15.75">
      <c r="A107" s="277">
        <v>4</v>
      </c>
      <c r="B107" s="226" t="s">
        <v>118</v>
      </c>
      <c r="C107" s="17"/>
      <c r="D107" s="227" t="s">
        <v>242</v>
      </c>
      <c r="E107" s="228">
        <f t="shared" si="25"/>
        <v>15</v>
      </c>
      <c r="F107" s="228">
        <f>'I rok'!G42+'I rok'!P42</f>
        <v>15</v>
      </c>
      <c r="G107" s="228">
        <f>'I rok'!I42+'I rok'!R42</f>
        <v>0</v>
      </c>
      <c r="H107" s="228">
        <v>0</v>
      </c>
      <c r="I107" s="228">
        <v>0</v>
      </c>
      <c r="J107" s="228">
        <f>'I rok'!G42+'I rok'!H42+'I rok'!I42+'I rok'!J42+'I rok'!K42+'I rok'!L42+'I rok'!M42+'I rok'!N42+'I rok'!P42+'I rok'!Q42+'I rok'!R42+'I rok'!S42+'I rok'!T42+'I rok'!U42+'I rok'!V42+'I rok'!W42</f>
        <v>25</v>
      </c>
      <c r="K107" s="228">
        <f>'I rok'!O42+'I rok'!X42</f>
        <v>1</v>
      </c>
    </row>
    <row r="108" spans="1:11" ht="15.75">
      <c r="A108" s="277">
        <v>5</v>
      </c>
      <c r="B108" s="226" t="s">
        <v>118</v>
      </c>
      <c r="C108" s="17"/>
      <c r="D108" s="227" t="s">
        <v>243</v>
      </c>
      <c r="E108" s="228">
        <f>SUM(F108:I108)</f>
        <v>15</v>
      </c>
      <c r="F108" s="228">
        <f>SUM('II rok'!G40,'II rok'!P40)</f>
        <v>15</v>
      </c>
      <c r="G108" s="228">
        <f>'III rok'!I34+'III rok'!R34</f>
        <v>0</v>
      </c>
      <c r="H108" s="228">
        <v>0</v>
      </c>
      <c r="I108" s="228">
        <v>0</v>
      </c>
      <c r="J108" s="228">
        <f>SUM('II rok'!G40:N40,'II rok'!P40:W40)</f>
        <v>25</v>
      </c>
      <c r="K108" s="228">
        <f>'II rok'!O40+'II rok'!X40</f>
        <v>1</v>
      </c>
    </row>
    <row r="109" spans="1:11" ht="15.75">
      <c r="A109" s="277">
        <v>6</v>
      </c>
      <c r="B109" s="226" t="s">
        <v>118</v>
      </c>
      <c r="C109" s="17"/>
      <c r="D109" s="227" t="s">
        <v>243</v>
      </c>
      <c r="E109" s="228">
        <f t="shared" ref="E109:E113" si="26">SUM(F109:I109)</f>
        <v>15</v>
      </c>
      <c r="F109" s="228">
        <f>SUM('II rok'!G41,'II rok'!P41)</f>
        <v>15</v>
      </c>
      <c r="G109" s="228">
        <f>'III rok'!I35+'III rok'!R35</f>
        <v>0</v>
      </c>
      <c r="H109" s="228">
        <v>0</v>
      </c>
      <c r="I109" s="228">
        <v>0</v>
      </c>
      <c r="J109" s="228">
        <f>SUM('II rok'!G41:N41,'II rok'!P41:W41)</f>
        <v>25</v>
      </c>
      <c r="K109" s="228">
        <f>'II rok'!O41+'II rok'!X41</f>
        <v>1</v>
      </c>
    </row>
    <row r="110" spans="1:11" ht="15.75">
      <c r="A110" s="277">
        <v>7</v>
      </c>
      <c r="B110" s="226" t="s">
        <v>118</v>
      </c>
      <c r="C110" s="17"/>
      <c r="D110" s="227" t="s">
        <v>243</v>
      </c>
      <c r="E110" s="228">
        <f t="shared" si="26"/>
        <v>30</v>
      </c>
      <c r="F110" s="228">
        <f>SUM('II rok'!G42,'II rok'!P42)</f>
        <v>15</v>
      </c>
      <c r="G110" s="228">
        <f>'III rok'!I36+'III rok'!R36</f>
        <v>15</v>
      </c>
      <c r="H110" s="228">
        <v>0</v>
      </c>
      <c r="I110" s="228">
        <v>0</v>
      </c>
      <c r="J110" s="228">
        <f>SUM('II rok'!G42:N42,'II rok'!P42:W42)</f>
        <v>25</v>
      </c>
      <c r="K110" s="228">
        <f>'II rok'!O42+'II rok'!X42</f>
        <v>1</v>
      </c>
    </row>
    <row r="111" spans="1:11" ht="15.75">
      <c r="A111" s="277">
        <v>8</v>
      </c>
      <c r="B111" s="226" t="s">
        <v>118</v>
      </c>
      <c r="C111" s="17"/>
      <c r="D111" s="227" t="s">
        <v>145</v>
      </c>
      <c r="E111" s="228">
        <f t="shared" si="26"/>
        <v>15</v>
      </c>
      <c r="F111" s="228">
        <f>SUM('II rok'!G43,'II rok'!P43)</f>
        <v>15</v>
      </c>
      <c r="G111" s="228">
        <f>'II rok'!I43+'II rok'!R43</f>
        <v>0</v>
      </c>
      <c r="H111" s="228">
        <v>0</v>
      </c>
      <c r="I111" s="228">
        <v>0</v>
      </c>
      <c r="J111" s="228">
        <f>SUM('II rok'!G43:N43,'II rok'!P43:W43)</f>
        <v>25</v>
      </c>
      <c r="K111" s="228">
        <f>'II rok'!O43+'II rok'!X43</f>
        <v>1</v>
      </c>
    </row>
    <row r="112" spans="1:11" ht="15.75">
      <c r="A112" s="277">
        <v>9</v>
      </c>
      <c r="B112" s="226" t="s">
        <v>118</v>
      </c>
      <c r="C112" s="17"/>
      <c r="D112" s="227" t="s">
        <v>145</v>
      </c>
      <c r="E112" s="228">
        <f t="shared" si="26"/>
        <v>15</v>
      </c>
      <c r="F112" s="228">
        <f>SUM('II rok'!G44,'II rok'!P44)</f>
        <v>15</v>
      </c>
      <c r="G112" s="228">
        <f>'II rok'!I44+'II rok'!R44</f>
        <v>0</v>
      </c>
      <c r="H112" s="228">
        <v>0</v>
      </c>
      <c r="I112" s="228">
        <v>0</v>
      </c>
      <c r="J112" s="228">
        <f>SUM('II rok'!G44:N44,'II rok'!P44:W44)</f>
        <v>25</v>
      </c>
      <c r="K112" s="228">
        <f>'II rok'!O44+'II rok'!X44</f>
        <v>1</v>
      </c>
    </row>
    <row r="113" spans="1:11" ht="15.75">
      <c r="A113" s="277">
        <v>10</v>
      </c>
      <c r="B113" s="226" t="s">
        <v>118</v>
      </c>
      <c r="C113" s="17"/>
      <c r="D113" s="227" t="s">
        <v>145</v>
      </c>
      <c r="E113" s="228">
        <f t="shared" si="26"/>
        <v>15</v>
      </c>
      <c r="F113" s="228">
        <f>SUM('II rok'!G45,'II rok'!P45)</f>
        <v>15</v>
      </c>
      <c r="G113" s="228">
        <f>'II rok'!I45+'II rok'!R45</f>
        <v>0</v>
      </c>
      <c r="H113" s="228">
        <v>0</v>
      </c>
      <c r="I113" s="228">
        <v>0</v>
      </c>
      <c r="J113" s="228">
        <f>SUM('II rok'!G45:N45,'II rok'!P45:W45)</f>
        <v>25</v>
      </c>
      <c r="K113" s="228">
        <f>'II rok'!O45+'II rok'!X45</f>
        <v>1</v>
      </c>
    </row>
    <row r="114" spans="1:11" ht="15.75">
      <c r="A114" s="277">
        <v>11</v>
      </c>
      <c r="B114" s="226" t="s">
        <v>118</v>
      </c>
      <c r="C114" s="17"/>
      <c r="D114" s="227" t="s">
        <v>147</v>
      </c>
      <c r="E114" s="228">
        <f>SUM(F114:I114)</f>
        <v>15</v>
      </c>
      <c r="F114" s="228">
        <f>SUM('III rok'!G34,'III rok'!P34)</f>
        <v>15</v>
      </c>
      <c r="G114" s="228">
        <f>'III rok'!I34+'III rok'!R34</f>
        <v>0</v>
      </c>
      <c r="H114" s="228">
        <v>0</v>
      </c>
      <c r="I114" s="228">
        <v>0</v>
      </c>
      <c r="J114" s="228">
        <f>SUM('III rok'!G34:N34,'III rok'!P34:W34)</f>
        <v>25</v>
      </c>
      <c r="K114" s="228">
        <f>SUM('III rok'!O34,'III rok'!X34)</f>
        <v>1</v>
      </c>
    </row>
    <row r="115" spans="1:11" ht="15.75">
      <c r="A115" s="277">
        <v>12</v>
      </c>
      <c r="B115" s="226" t="s">
        <v>118</v>
      </c>
      <c r="C115" s="17"/>
      <c r="D115" s="227" t="s">
        <v>147</v>
      </c>
      <c r="E115" s="228">
        <f t="shared" ref="E115:E118" si="27">SUM(F115:I115)</f>
        <v>15</v>
      </c>
      <c r="F115" s="228">
        <f>SUM('III rok'!G35,'III rok'!P35)</f>
        <v>15</v>
      </c>
      <c r="G115" s="228">
        <f>'III rok'!I35+'III rok'!R35</f>
        <v>0</v>
      </c>
      <c r="H115" s="228">
        <v>0</v>
      </c>
      <c r="I115" s="228">
        <v>0</v>
      </c>
      <c r="J115" s="228">
        <f>SUM('III rok'!G35:N35,'III rok'!P35:W35)</f>
        <v>25</v>
      </c>
      <c r="K115" s="228">
        <f>SUM('III rok'!O35,'III rok'!X35)</f>
        <v>1</v>
      </c>
    </row>
    <row r="116" spans="1:11" s="365" customFormat="1" ht="15.75">
      <c r="A116" s="277">
        <v>13</v>
      </c>
      <c r="B116" s="447" t="s">
        <v>118</v>
      </c>
      <c r="C116" s="370"/>
      <c r="D116" s="439" t="s">
        <v>147</v>
      </c>
      <c r="E116" s="441">
        <f t="shared" si="27"/>
        <v>15</v>
      </c>
      <c r="F116" s="441">
        <f>SUM('III rok'!G36,'III rok'!P36)</f>
        <v>0</v>
      </c>
      <c r="G116" s="441">
        <f>'III rok'!I36+'III rok'!R36</f>
        <v>15</v>
      </c>
      <c r="H116" s="441">
        <v>0</v>
      </c>
      <c r="I116" s="441">
        <v>0</v>
      </c>
      <c r="J116" s="441">
        <f>SUM('III rok'!G36:N36,'III rok'!P36:W36)</f>
        <v>25</v>
      </c>
      <c r="K116" s="441">
        <f>SUM('III rok'!O36,'III rok'!X36)</f>
        <v>1</v>
      </c>
    </row>
    <row r="117" spans="1:11" ht="15.75">
      <c r="A117" s="277">
        <v>14</v>
      </c>
      <c r="B117" s="226" t="s">
        <v>118</v>
      </c>
      <c r="C117" s="17"/>
      <c r="D117" s="439" t="s">
        <v>148</v>
      </c>
      <c r="E117" s="441">
        <f t="shared" si="27"/>
        <v>15</v>
      </c>
      <c r="F117" s="441">
        <f>SUM('III rok'!G37,'III rok'!P37)</f>
        <v>15</v>
      </c>
      <c r="G117" s="441">
        <f>'III rok'!I37+'III rok'!R37</f>
        <v>0</v>
      </c>
      <c r="H117" s="441">
        <v>0</v>
      </c>
      <c r="I117" s="441">
        <v>0</v>
      </c>
      <c r="J117" s="441">
        <f>SUM('III rok'!G37:N37,'III rok'!P37:W37)</f>
        <v>25</v>
      </c>
      <c r="K117" s="441">
        <f>SUM('III rok'!O37,'III rok'!X37)</f>
        <v>1</v>
      </c>
    </row>
    <row r="118" spans="1:11" ht="15.75">
      <c r="A118" s="277">
        <v>15</v>
      </c>
      <c r="B118" s="226" t="s">
        <v>118</v>
      </c>
      <c r="C118" s="17"/>
      <c r="D118" s="439" t="s">
        <v>148</v>
      </c>
      <c r="E118" s="441">
        <f t="shared" si="27"/>
        <v>15</v>
      </c>
      <c r="F118" s="441">
        <f>SUM('III rok'!G38,'III rok'!P38)</f>
        <v>15</v>
      </c>
      <c r="G118" s="441">
        <v>0</v>
      </c>
      <c r="H118" s="441">
        <v>0</v>
      </c>
      <c r="I118" s="441">
        <v>0</v>
      </c>
      <c r="J118" s="441">
        <f>SUM('III rok'!G38:N38,'III rok'!P38:W38)</f>
        <v>25</v>
      </c>
      <c r="K118" s="441">
        <f>SUM('III rok'!O38,'III rok'!X38)</f>
        <v>1</v>
      </c>
    </row>
    <row r="119" spans="1:11" ht="15.75">
      <c r="A119" s="277">
        <v>16</v>
      </c>
      <c r="B119" s="226" t="s">
        <v>118</v>
      </c>
      <c r="C119" s="17"/>
      <c r="D119" s="439" t="s">
        <v>149</v>
      </c>
      <c r="E119" s="441">
        <f t="shared" si="25"/>
        <v>15</v>
      </c>
      <c r="F119" s="441">
        <f>'IV rok'!G33+'IV rok'!P33</f>
        <v>15</v>
      </c>
      <c r="G119" s="441">
        <f>'IV rok'!I33+'IV rok'!R33</f>
        <v>0</v>
      </c>
      <c r="H119" s="441">
        <f>'IV rok'!K33+'IV rok'!T33</f>
        <v>0</v>
      </c>
      <c r="I119" s="441">
        <f>'IV rok'!M33+'IV rok'!V33</f>
        <v>0</v>
      </c>
      <c r="J119" s="441">
        <f>'IV rok'!G33+'IV rok'!H33+'IV rok'!I33+'IV rok'!J33+'IV rok'!K33+'IV rok'!L33+'IV rok'!M33+'IV rok'!N33+'IV rok'!P33+'IV rok'!Q33+'IV rok'!R33+'IV rok'!S33+'IV rok'!T33+'IV rok'!U33+'IV rok'!V33+'IV rok'!W33</f>
        <v>25</v>
      </c>
      <c r="K119" s="441">
        <f>'IV rok'!O33+'IV rok'!X33</f>
        <v>1</v>
      </c>
    </row>
    <row r="120" spans="1:11" ht="15.75">
      <c r="A120" s="277">
        <v>17</v>
      </c>
      <c r="B120" s="226" t="s">
        <v>118</v>
      </c>
      <c r="C120" s="17"/>
      <c r="D120" s="439" t="s">
        <v>149</v>
      </c>
      <c r="E120" s="441">
        <f t="shared" si="25"/>
        <v>15</v>
      </c>
      <c r="F120" s="441">
        <f>'IV rok'!G34+'IV rok'!P34</f>
        <v>15</v>
      </c>
      <c r="G120" s="441">
        <f>'IV rok'!I34+'IV rok'!R34</f>
        <v>0</v>
      </c>
      <c r="H120" s="441">
        <f>'IV rok'!K34+'IV rok'!T34</f>
        <v>0</v>
      </c>
      <c r="I120" s="441">
        <f>'IV rok'!M34+'IV rok'!V34</f>
        <v>0</v>
      </c>
      <c r="J120" s="441">
        <f>'IV rok'!G34+'IV rok'!H34+'IV rok'!I34+'IV rok'!J34+'IV rok'!K34+'IV rok'!L34+'IV rok'!M34+'IV rok'!N34+'IV rok'!P34+'IV rok'!Q34+'IV rok'!R34+'IV rok'!S34+'IV rok'!T34+'IV rok'!U34+'IV rok'!V34+'IV rok'!W34</f>
        <v>25</v>
      </c>
      <c r="K120" s="441">
        <f>'IV rok'!O34+'IV rok'!X34</f>
        <v>1</v>
      </c>
    </row>
    <row r="121" spans="1:11" ht="15.75">
      <c r="A121" s="277">
        <v>18</v>
      </c>
      <c r="B121" s="226" t="s">
        <v>118</v>
      </c>
      <c r="C121" s="17"/>
      <c r="D121" s="439" t="s">
        <v>149</v>
      </c>
      <c r="E121" s="441">
        <f t="shared" si="25"/>
        <v>15</v>
      </c>
      <c r="F121" s="441">
        <f>'IV rok'!G35+'IV rok'!P35</f>
        <v>0</v>
      </c>
      <c r="G121" s="441">
        <f>'IV rok'!I35+'IV rok'!R35</f>
        <v>15</v>
      </c>
      <c r="H121" s="441">
        <f>'IV rok'!K35+'IV rok'!T35</f>
        <v>0</v>
      </c>
      <c r="I121" s="441">
        <f>'IV rok'!M35+'IV rok'!V35</f>
        <v>0</v>
      </c>
      <c r="J121" s="441">
        <f>'IV rok'!G35+'IV rok'!H35+'IV rok'!I35+'IV rok'!J35+'IV rok'!K35+'IV rok'!L35+'IV rok'!M35+'IV rok'!N35+'IV rok'!P35+'IV rok'!Q35+'IV rok'!R35+'IV rok'!S35+'IV rok'!T35+'IV rok'!U35+'IV rok'!V35+'IV rok'!W35</f>
        <v>25</v>
      </c>
      <c r="K121" s="441">
        <f>'IV rok'!O35+'IV rok'!X35</f>
        <v>1</v>
      </c>
    </row>
    <row r="122" spans="1:11" ht="15.75">
      <c r="A122" s="277">
        <v>19</v>
      </c>
      <c r="B122" s="226" t="s">
        <v>118</v>
      </c>
      <c r="C122" s="17"/>
      <c r="D122" s="439" t="s">
        <v>146</v>
      </c>
      <c r="E122" s="441">
        <f t="shared" si="25"/>
        <v>15</v>
      </c>
      <c r="F122" s="441">
        <f>'IV rok'!G36+'IV rok'!P36</f>
        <v>15</v>
      </c>
      <c r="G122" s="441">
        <f>'IV rok'!I36+'IV rok'!R36</f>
        <v>0</v>
      </c>
      <c r="H122" s="441">
        <f>'IV rok'!K36+'IV rok'!T36</f>
        <v>0</v>
      </c>
      <c r="I122" s="441">
        <f>'IV rok'!M36+'IV rok'!V36</f>
        <v>0</v>
      </c>
      <c r="J122" s="441">
        <f>'IV rok'!G36+'IV rok'!H36+'IV rok'!I36+'IV rok'!J36+'IV rok'!K36+'IV rok'!L36+'IV rok'!M36+'IV rok'!N36+'IV rok'!P36+'IV rok'!Q36+'IV rok'!R36+'IV rok'!S36+'IV rok'!T36+'IV rok'!U36+'IV rok'!V36+'IV rok'!W36</f>
        <v>25</v>
      </c>
      <c r="K122" s="441">
        <f>'IV rok'!O36+'IV rok'!X36</f>
        <v>1</v>
      </c>
    </row>
    <row r="123" spans="1:11" s="365" customFormat="1" ht="15.75">
      <c r="A123" s="277">
        <v>20</v>
      </c>
      <c r="B123" s="447" t="s">
        <v>118</v>
      </c>
      <c r="C123" s="370"/>
      <c r="D123" s="439" t="s">
        <v>146</v>
      </c>
      <c r="E123" s="441">
        <f t="shared" si="25"/>
        <v>15</v>
      </c>
      <c r="F123" s="441">
        <f>'IV rok'!G37+'IV rok'!P37</f>
        <v>15</v>
      </c>
      <c r="G123" s="441">
        <f>'IV rok'!I37+'IV rok'!R37</f>
        <v>0</v>
      </c>
      <c r="H123" s="441">
        <f>'IV rok'!K37+'IV rok'!T37</f>
        <v>0</v>
      </c>
      <c r="I123" s="441">
        <f>'IV rok'!M37+'IV rok'!V37</f>
        <v>0</v>
      </c>
      <c r="J123" s="441">
        <f>'IV rok'!G37+'IV rok'!H37+'IV rok'!I37+'IV rok'!J37+'IV rok'!K37+'IV rok'!L37+'IV rok'!M37+'IV rok'!N37+'IV rok'!P37+'IV rok'!Q37+'IV rok'!R37+'IV rok'!S37+'IV rok'!T37+'IV rok'!U37+'IV rok'!V37+'IV rok'!W37</f>
        <v>25</v>
      </c>
      <c r="K123" s="441">
        <f>'IV rok'!O37+'IV rok'!X37</f>
        <v>1</v>
      </c>
    </row>
    <row r="124" spans="1:11" s="365" customFormat="1" ht="15.75">
      <c r="A124" s="277">
        <v>21</v>
      </c>
      <c r="B124" s="447" t="s">
        <v>118</v>
      </c>
      <c r="C124" s="370"/>
      <c r="D124" s="439" t="s">
        <v>146</v>
      </c>
      <c r="E124" s="441">
        <f t="shared" si="25"/>
        <v>15</v>
      </c>
      <c r="F124" s="441">
        <f>'IV rok'!G38+'IV rok'!P38</f>
        <v>0</v>
      </c>
      <c r="G124" s="441">
        <f>'IV rok'!I38+'IV rok'!R38</f>
        <v>15</v>
      </c>
      <c r="H124" s="441">
        <f>'IV rok'!K38+'IV rok'!T38</f>
        <v>0</v>
      </c>
      <c r="I124" s="441">
        <f>'IV rok'!M38+'IV rok'!V38</f>
        <v>0</v>
      </c>
      <c r="J124" s="441">
        <f>'IV rok'!G38+'IV rok'!H38+'IV rok'!I38+'IV rok'!J38+'IV rok'!K38+'IV rok'!L38+'IV rok'!M38+'IV rok'!N38+'IV rok'!P38+'IV rok'!Q38+'IV rok'!R38+'IV rok'!S38+'IV rok'!T38+'IV rok'!U38+'IV rok'!V38+'IV rok'!W38</f>
        <v>25</v>
      </c>
      <c r="K124" s="441">
        <f>'IV rok'!O38+'IV rok'!X38</f>
        <v>1</v>
      </c>
    </row>
    <row r="125" spans="1:11" ht="15.75">
      <c r="A125" s="277">
        <v>22</v>
      </c>
      <c r="B125" s="226" t="s">
        <v>118</v>
      </c>
      <c r="C125" s="17"/>
      <c r="D125" s="439" t="s">
        <v>130</v>
      </c>
      <c r="E125" s="441">
        <f t="shared" si="25"/>
        <v>25</v>
      </c>
      <c r="F125" s="441">
        <f>'V rok'!G44+'V rok'!P44</f>
        <v>10</v>
      </c>
      <c r="G125" s="441">
        <f>'V rok'!I44+'V rok'!R44</f>
        <v>15</v>
      </c>
      <c r="H125" s="441">
        <f>'V rok'!K44+'V rok'!T44</f>
        <v>0</v>
      </c>
      <c r="I125" s="441">
        <f>'V rok'!M44+'V rok'!V44</f>
        <v>0</v>
      </c>
      <c r="J125" s="441">
        <f>'V rok'!G44+'V rok'!H44+'V rok'!I44+'V rok'!J44+'V rok'!K44+'V rok'!L44+'V rok'!M44+'V rok'!N44+'V rok'!P44+'V rok'!Q44+'V rok'!R44+'V rok'!S44+'V rok'!T44+'V rok'!U44+'V rok'!V44+'V rok'!W44</f>
        <v>50</v>
      </c>
      <c r="K125" s="441">
        <f>'V rok'!O44+'V rok'!X44</f>
        <v>2</v>
      </c>
    </row>
    <row r="126" spans="1:11" ht="15.75">
      <c r="A126" s="277">
        <v>23</v>
      </c>
      <c r="B126" s="226" t="s">
        <v>118</v>
      </c>
      <c r="C126" s="17"/>
      <c r="D126" s="227" t="s">
        <v>130</v>
      </c>
      <c r="E126" s="228">
        <f t="shared" si="25"/>
        <v>15</v>
      </c>
      <c r="F126" s="228">
        <f>'V rok'!G45+'V rok'!P45</f>
        <v>0</v>
      </c>
      <c r="G126" s="228">
        <f>'V rok'!I45+'V rok'!R45</f>
        <v>15</v>
      </c>
      <c r="H126" s="228">
        <f>'V rok'!K45+'V rok'!T45</f>
        <v>0</v>
      </c>
      <c r="I126" s="228">
        <f>'V rok'!M45+'V rok'!V45</f>
        <v>0</v>
      </c>
      <c r="J126" s="228">
        <f>'V rok'!G45+'V rok'!H45+'V rok'!I45+'V rok'!J45+'V rok'!K45+'V rok'!L45+'V rok'!M45+'V rok'!N45+'V rok'!P45+'V rok'!Q45+'V rok'!R45+'V rok'!S45+'V rok'!T45+'V rok'!U45+'V rok'!V45+'V rok'!W45</f>
        <v>25</v>
      </c>
      <c r="K126" s="228">
        <f>'V rok'!O45+'V rok'!X45</f>
        <v>1</v>
      </c>
    </row>
    <row r="127" spans="1:11" ht="15.75">
      <c r="A127" s="277">
        <v>24</v>
      </c>
      <c r="B127" s="226" t="s">
        <v>118</v>
      </c>
      <c r="C127" s="17"/>
      <c r="D127" s="227" t="s">
        <v>133</v>
      </c>
      <c r="E127" s="228">
        <f t="shared" si="25"/>
        <v>15</v>
      </c>
      <c r="F127" s="228">
        <f>'V rok'!G46+'V rok'!P46</f>
        <v>15</v>
      </c>
      <c r="G127" s="228">
        <f>'V rok'!I46+'V rok'!R46</f>
        <v>0</v>
      </c>
      <c r="H127" s="228">
        <f>'V rok'!K46+'V rok'!T46</f>
        <v>0</v>
      </c>
      <c r="I127" s="228">
        <f>'V rok'!M46+'V rok'!V46</f>
        <v>0</v>
      </c>
      <c r="J127" s="228">
        <f>'V rok'!G46+'V rok'!H46+'V rok'!I46+'V rok'!J46+'V rok'!K46+'V rok'!L46+'V rok'!M46+'V rok'!N46+'V rok'!P46+'V rok'!Q46+'V rok'!R46+'V rok'!S46+'V rok'!T46+'V rok'!U46+'V rok'!V46+'V rok'!W46</f>
        <v>25</v>
      </c>
      <c r="K127" s="228">
        <f>'V rok'!O46+'V rok'!X46</f>
        <v>1</v>
      </c>
    </row>
    <row r="128" spans="1:11" ht="48" customHeight="1">
      <c r="A128" s="277">
        <v>25</v>
      </c>
      <c r="B128" s="606" t="s">
        <v>268</v>
      </c>
      <c r="C128" s="607"/>
      <c r="D128" s="227" t="s">
        <v>253</v>
      </c>
      <c r="E128" s="228">
        <f t="shared" si="25"/>
        <v>120</v>
      </c>
      <c r="F128" s="228">
        <v>0</v>
      </c>
      <c r="G128" s="228">
        <f>'V rok'!I47+'V rok'!R47+'VI rok'!I23+'VI rok'!R23</f>
        <v>120</v>
      </c>
      <c r="H128" s="228">
        <v>0</v>
      </c>
      <c r="I128" s="228">
        <v>0</v>
      </c>
      <c r="J128" s="228">
        <f>'V rok'!G47+'V rok'!H47+'V rok'!I47+'V rok'!J47+'V rok'!K47+'V rok'!L47+'V rok'!M47+'V rok'!N47+'V rok'!P47+'V rok'!Q47+'V rok'!R47+'V rok'!S47+'V rok'!T47+'V rok'!U47+'V rok'!V47+'V rok'!W47+'VI rok'!G23+'VI rok'!H23+'VI rok'!I23+'VI rok'!J23+'VI rok'!K23+'VI rok'!L23+'VI rok'!M23+'VI rok'!N23+'VI rok'!P23+'VI rok'!Q23+'VI rok'!R23+'VI rok'!S23+'VI rok'!T23+'VI rok'!U23+'VI rok'!V23+'VI rok'!W23</f>
        <v>200</v>
      </c>
      <c r="K128" s="228">
        <f>'V rok'!O47+'V rok'!X47+'VI rok'!O23+'VI rok'!X23</f>
        <v>8</v>
      </c>
    </row>
    <row r="129" spans="1:12">
      <c r="A129" s="595" t="s">
        <v>9</v>
      </c>
      <c r="B129" s="596"/>
      <c r="C129" s="596"/>
      <c r="D129" s="597"/>
      <c r="E129" s="232">
        <f t="shared" ref="E129:K129" si="28">SUM(E104:E128)</f>
        <v>505</v>
      </c>
      <c r="F129" s="232">
        <f t="shared" si="28"/>
        <v>295</v>
      </c>
      <c r="G129" s="232">
        <f t="shared" si="28"/>
        <v>210</v>
      </c>
      <c r="H129" s="232">
        <f t="shared" si="28"/>
        <v>0</v>
      </c>
      <c r="I129" s="232">
        <f t="shared" si="28"/>
        <v>0</v>
      </c>
      <c r="J129" s="232">
        <f t="shared" si="28"/>
        <v>825</v>
      </c>
      <c r="K129" s="235">
        <f t="shared" si="28"/>
        <v>33</v>
      </c>
      <c r="L129" s="236"/>
    </row>
    <row r="130" spans="1:12" ht="26.25" customHeight="1">
      <c r="A130" s="589" t="s">
        <v>237</v>
      </c>
      <c r="B130" s="590"/>
      <c r="C130" s="590"/>
      <c r="D130" s="591"/>
      <c r="E130" s="303">
        <f>E8+E19+E27+E36+E51+E66+E73+E83+E93+E102+E129</f>
        <v>6087</v>
      </c>
      <c r="F130" s="303">
        <f>SUM(F8,F19,F27,F36,F51,F66,F73,F83,F93,F102,F129)</f>
        <v>1615</v>
      </c>
      <c r="G130" s="303">
        <f>SUM(G8,G19,G27,G36,G51,G66,G73,G83,G93,G102,G129)</f>
        <v>1882</v>
      </c>
      <c r="H130" s="303">
        <f>SUM(H8,H19,H27,H36,H51,H66,H73,H83,H93,H102,H129)</f>
        <v>2360</v>
      </c>
      <c r="I130" s="303">
        <f>SUM(I8,I19,I27,I36,I51,I66,I73,I83,I93,I102,I129)</f>
        <v>230</v>
      </c>
      <c r="J130" s="303">
        <f>J8+J19+J27+J36+J51+J66+J73+J83+J93+J102+J129</f>
        <v>9562</v>
      </c>
      <c r="K130" s="303">
        <f>K8+K19+K27+K36+K51+K66+K73+K83+K93+K102+K129</f>
        <v>368</v>
      </c>
    </row>
    <row r="131" spans="1:12" ht="249" customHeight="1">
      <c r="A131" s="583" t="s">
        <v>341</v>
      </c>
      <c r="B131" s="584"/>
      <c r="C131" s="584"/>
      <c r="D131" s="584"/>
      <c r="E131" s="584"/>
      <c r="F131" s="584"/>
      <c r="G131" s="584"/>
      <c r="H131" s="584"/>
      <c r="I131" s="584"/>
      <c r="J131" s="584"/>
      <c r="K131" s="584"/>
    </row>
    <row r="139" spans="1:12">
      <c r="A139" s="400"/>
      <c r="B139" s="400"/>
      <c r="C139" s="300" t="s">
        <v>127</v>
      </c>
    </row>
  </sheetData>
  <mergeCells count="33">
    <mergeCell ref="U13:AY13"/>
    <mergeCell ref="U14:V14"/>
    <mergeCell ref="AB14:AJ14"/>
    <mergeCell ref="U15:V15"/>
    <mergeCell ref="A2:B2"/>
    <mergeCell ref="A3:B3"/>
    <mergeCell ref="A9:K9"/>
    <mergeCell ref="A1:K1"/>
    <mergeCell ref="A130:D130"/>
    <mergeCell ref="A66:D66"/>
    <mergeCell ref="A73:D73"/>
    <mergeCell ref="A83:D83"/>
    <mergeCell ref="A36:D36"/>
    <mergeCell ref="A8:D8"/>
    <mergeCell ref="A129:D129"/>
    <mergeCell ref="A27:D27"/>
    <mergeCell ref="A19:D19"/>
    <mergeCell ref="A51:D51"/>
    <mergeCell ref="A93:B93"/>
    <mergeCell ref="A102:B102"/>
    <mergeCell ref="B100:C101"/>
    <mergeCell ref="B128:C128"/>
    <mergeCell ref="A100:A101"/>
    <mergeCell ref="A131:K131"/>
    <mergeCell ref="A52:K52"/>
    <mergeCell ref="A37:K37"/>
    <mergeCell ref="A28:K28"/>
    <mergeCell ref="A20:K20"/>
    <mergeCell ref="A103:K103"/>
    <mergeCell ref="A94:K94"/>
    <mergeCell ref="A84:K84"/>
    <mergeCell ref="A74:K74"/>
    <mergeCell ref="A67:K67"/>
  </mergeCells>
  <pageMargins left="0.43307086614173229" right="0.23622047244094491" top="0.35433070866141736" bottom="0.35433070866141736" header="0.31496062992125984" footer="0.31496062992125984"/>
  <pageSetup paperSize="9" scale="64" fitToHeight="0" orientation="portrait" r:id="rId1"/>
  <rowBreaks count="2" manualBreakCount="2">
    <brk id="66" max="12" man="1"/>
    <brk id="130" max="16383" man="1"/>
  </rowBreaks>
  <colBreaks count="1" manualBreakCount="1">
    <brk id="11" max="1048575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9"/>
  <sheetViews>
    <sheetView topLeftCell="A7" workbookViewId="0">
      <selection activeCell="G23" sqref="G23"/>
    </sheetView>
  </sheetViews>
  <sheetFormatPr defaultRowHeight="15"/>
  <cols>
    <col min="1" max="1" width="5.85546875" customWidth="1"/>
    <col min="2" max="2" width="15" customWidth="1"/>
    <col min="3" max="3" width="15.7109375" customWidth="1"/>
    <col min="12" max="12" width="16.85546875" customWidth="1"/>
    <col min="13" max="13" width="22" customWidth="1"/>
  </cols>
  <sheetData>
    <row r="1" spans="1:13" ht="90">
      <c r="A1" s="222" t="s">
        <v>0</v>
      </c>
      <c r="B1" s="221" t="s">
        <v>4</v>
      </c>
      <c r="C1" s="218" t="s">
        <v>1</v>
      </c>
      <c r="D1" s="238" t="s">
        <v>244</v>
      </c>
      <c r="E1" s="322" t="s">
        <v>5</v>
      </c>
      <c r="F1" s="322" t="s">
        <v>89</v>
      </c>
      <c r="G1" s="322" t="s">
        <v>88</v>
      </c>
      <c r="H1" s="322" t="s">
        <v>94</v>
      </c>
      <c r="I1" s="322" t="s">
        <v>90</v>
      </c>
      <c r="J1" s="322" t="s">
        <v>14</v>
      </c>
      <c r="K1" s="322" t="s">
        <v>6</v>
      </c>
      <c r="L1" s="323" t="s">
        <v>286</v>
      </c>
      <c r="M1" s="347" t="s">
        <v>305</v>
      </c>
    </row>
    <row r="2" spans="1:13">
      <c r="A2" s="302" t="s">
        <v>22</v>
      </c>
      <c r="B2" s="225"/>
      <c r="C2" s="325"/>
      <c r="D2" s="245"/>
      <c r="E2" s="246"/>
      <c r="F2" s="246"/>
      <c r="G2" s="246"/>
      <c r="H2" s="246"/>
      <c r="I2" s="247"/>
      <c r="J2" s="247"/>
      <c r="K2" s="247"/>
      <c r="L2" s="122"/>
      <c r="M2" s="200"/>
    </row>
    <row r="3" spans="1:13" ht="30">
      <c r="A3" s="216">
        <v>1.1000000000000001</v>
      </c>
      <c r="B3" s="240" t="s">
        <v>18</v>
      </c>
      <c r="C3" s="203" t="str">
        <f>"0912-7LEK-B"&amp;A3&amp;"-"&amp;UPPER(LEFT(B3,1))</f>
        <v>0912-7LEK-B1.1-A</v>
      </c>
      <c r="D3" s="241" t="s">
        <v>240</v>
      </c>
      <c r="E3" s="242">
        <v>225</v>
      </c>
      <c r="F3" s="242">
        <v>75</v>
      </c>
      <c r="G3" s="242">
        <v>60</v>
      </c>
      <c r="H3" s="242">
        <v>90</v>
      </c>
      <c r="I3" s="324">
        <v>0</v>
      </c>
      <c r="J3" s="252">
        <v>425</v>
      </c>
      <c r="K3" s="339">
        <v>17</v>
      </c>
      <c r="L3" s="122" t="s">
        <v>287</v>
      </c>
      <c r="M3" s="200"/>
    </row>
    <row r="4" spans="1:13" ht="31.5">
      <c r="A4" s="215">
        <v>1.2</v>
      </c>
      <c r="B4" s="217" t="s">
        <v>20</v>
      </c>
      <c r="C4" s="17" t="str">
        <f>"0912-7LEK-B"&amp;A4&amp;"-"&amp;UPPER(LEFT(B4,1))</f>
        <v>0912-7LEK-B1.2-H</v>
      </c>
      <c r="D4" s="227" t="s">
        <v>240</v>
      </c>
      <c r="E4" s="228">
        <v>105</v>
      </c>
      <c r="F4" s="228">
        <v>35</v>
      </c>
      <c r="G4" s="228">
        <v>35</v>
      </c>
      <c r="H4" s="228">
        <v>35</v>
      </c>
      <c r="I4" s="327">
        <v>0</v>
      </c>
      <c r="J4" s="253">
        <v>250</v>
      </c>
      <c r="K4" s="340">
        <v>10</v>
      </c>
      <c r="L4" s="122" t="s">
        <v>301</v>
      </c>
      <c r="M4" s="200"/>
    </row>
    <row r="5" spans="1:13">
      <c r="A5" s="592" t="s">
        <v>9</v>
      </c>
      <c r="B5" s="593"/>
      <c r="C5" s="593"/>
      <c r="D5" s="594"/>
      <c r="E5" s="239">
        <f>SUM(E3:E4)</f>
        <v>330</v>
      </c>
      <c r="F5" s="239">
        <f t="shared" ref="F5:K5" si="0">SUM(F3:F4)</f>
        <v>110</v>
      </c>
      <c r="G5" s="239">
        <f t="shared" si="0"/>
        <v>95</v>
      </c>
      <c r="H5" s="239">
        <f t="shared" si="0"/>
        <v>125</v>
      </c>
      <c r="I5" s="239">
        <f t="shared" si="0"/>
        <v>0</v>
      </c>
      <c r="J5" s="239">
        <f t="shared" si="0"/>
        <v>675</v>
      </c>
      <c r="K5" s="341">
        <f t="shared" si="0"/>
        <v>27</v>
      </c>
      <c r="L5" s="122"/>
      <c r="M5" s="200"/>
    </row>
    <row r="6" spans="1:13">
      <c r="A6" s="585" t="s">
        <v>23</v>
      </c>
      <c r="B6" s="586"/>
      <c r="C6" s="586"/>
      <c r="D6" s="586"/>
      <c r="E6" s="586"/>
      <c r="F6" s="586"/>
      <c r="G6" s="586"/>
      <c r="H6" s="586"/>
      <c r="I6" s="586"/>
      <c r="J6" s="586"/>
      <c r="K6" s="586"/>
      <c r="L6" s="122"/>
      <c r="M6" s="200"/>
    </row>
    <row r="7" spans="1:13" ht="30">
      <c r="A7" s="216">
        <v>2.1</v>
      </c>
      <c r="B7" s="240" t="s">
        <v>35</v>
      </c>
      <c r="C7" s="203" t="str">
        <f>"0912-7LEK-B"&amp;A7&amp;"-"&amp;UPPER(LEFT(B7,1))&amp;"f"</f>
        <v>0912-7LEK-B2.1-Bf</v>
      </c>
      <c r="D7" s="241">
        <v>4</v>
      </c>
      <c r="E7" s="242">
        <v>50</v>
      </c>
      <c r="F7" s="242">
        <v>20</v>
      </c>
      <c r="G7" s="242">
        <v>15</v>
      </c>
      <c r="H7" s="242">
        <v>0</v>
      </c>
      <c r="I7" s="242">
        <v>15</v>
      </c>
      <c r="J7" s="242">
        <v>75</v>
      </c>
      <c r="K7" s="342">
        <v>3</v>
      </c>
      <c r="L7" s="122"/>
      <c r="M7" s="200"/>
    </row>
    <row r="8" spans="1:13" ht="47.25">
      <c r="A8" s="215">
        <v>2.2000000000000002</v>
      </c>
      <c r="B8" s="217" t="s">
        <v>36</v>
      </c>
      <c r="C8" s="17" t="str">
        <f>"0912-7LEK-B"&amp;A8&amp;"-"&amp;UPPER(LEFT(B8,1))&amp;"BK"</f>
        <v>0912-7LEK-B2.2-PBK</v>
      </c>
      <c r="D8" s="227">
        <v>2</v>
      </c>
      <c r="E8" s="228">
        <v>60</v>
      </c>
      <c r="F8" s="228">
        <v>30</v>
      </c>
      <c r="G8" s="228">
        <v>0</v>
      </c>
      <c r="H8" s="228">
        <v>0</v>
      </c>
      <c r="I8" s="228">
        <v>30</v>
      </c>
      <c r="J8" s="228">
        <v>100</v>
      </c>
      <c r="K8" s="343">
        <v>4</v>
      </c>
      <c r="L8" s="122"/>
      <c r="M8" s="200"/>
    </row>
    <row r="9" spans="1:13" ht="30">
      <c r="A9" s="215">
        <v>2.2999999999999998</v>
      </c>
      <c r="B9" s="217" t="s">
        <v>37</v>
      </c>
      <c r="C9" s="17" t="str">
        <f>"0912-7LEK-B"&amp;A9&amp;"-"&amp;UPPER(LEFT(B9,1))</f>
        <v>0912-7LEK-B2.3-C</v>
      </c>
      <c r="D9" s="227">
        <v>1</v>
      </c>
      <c r="E9" s="228">
        <v>35</v>
      </c>
      <c r="F9" s="228">
        <v>15</v>
      </c>
      <c r="G9" s="228">
        <v>0</v>
      </c>
      <c r="H9" s="228">
        <v>0</v>
      </c>
      <c r="I9" s="228">
        <v>20</v>
      </c>
      <c r="J9" s="228">
        <v>75</v>
      </c>
      <c r="K9" s="343">
        <v>3</v>
      </c>
      <c r="L9" s="122"/>
      <c r="M9" s="200"/>
    </row>
    <row r="10" spans="1:13" ht="30">
      <c r="A10" s="215">
        <v>2.4</v>
      </c>
      <c r="B10" s="233" t="s">
        <v>38</v>
      </c>
      <c r="C10" s="17" t="str">
        <f>"0912-7LEK-B"&amp;A10&amp;"-"&amp;UPPER(LEFT(B10,1))&amp;"ch"</f>
        <v>0912-7LEK-B2.4-Bch</v>
      </c>
      <c r="D10" s="227">
        <v>3</v>
      </c>
      <c r="E10" s="228">
        <v>60</v>
      </c>
      <c r="F10" s="228">
        <v>30</v>
      </c>
      <c r="G10" s="228">
        <v>0</v>
      </c>
      <c r="H10" s="228">
        <v>0</v>
      </c>
      <c r="I10" s="228">
        <v>30</v>
      </c>
      <c r="J10" s="228">
        <v>125</v>
      </c>
      <c r="K10" s="343">
        <v>5</v>
      </c>
      <c r="L10" s="122"/>
      <c r="M10" s="200"/>
    </row>
    <row r="11" spans="1:13" ht="31.5">
      <c r="A11" s="215">
        <v>2.5</v>
      </c>
      <c r="B11" s="217" t="s">
        <v>39</v>
      </c>
      <c r="C11" s="17" t="str">
        <f>"0912-7LEK-B"&amp;A11&amp;"-"&amp;UPPER(LEFT(B11,1))&amp;"zC"</f>
        <v>0912-7LEK-B2.5-FzC</v>
      </c>
      <c r="D11" s="227" t="s">
        <v>251</v>
      </c>
      <c r="E11" s="228">
        <v>160</v>
      </c>
      <c r="F11" s="228">
        <v>50</v>
      </c>
      <c r="G11" s="228">
        <v>50</v>
      </c>
      <c r="H11" s="228">
        <v>0</v>
      </c>
      <c r="I11" s="228">
        <v>60</v>
      </c>
      <c r="J11" s="228">
        <v>350</v>
      </c>
      <c r="K11" s="343">
        <v>14</v>
      </c>
      <c r="L11" s="122"/>
      <c r="M11" s="200"/>
    </row>
    <row r="12" spans="1:13" ht="30">
      <c r="A12" s="215">
        <v>2.6</v>
      </c>
      <c r="B12" s="217" t="s">
        <v>40</v>
      </c>
      <c r="C12" s="17" t="str">
        <f>"0912-7LEK-B"&amp;A12&amp;"-"&amp;UPPER(LEFT(B12,1))&amp;""</f>
        <v>0912-7LEK-B2.6-P</v>
      </c>
      <c r="D12" s="227" t="s">
        <v>252</v>
      </c>
      <c r="E12" s="228">
        <v>90</v>
      </c>
      <c r="F12" s="228">
        <v>40</v>
      </c>
      <c r="G12" s="228">
        <v>50</v>
      </c>
      <c r="H12" s="228">
        <v>0</v>
      </c>
      <c r="I12" s="228">
        <v>0</v>
      </c>
      <c r="J12" s="228">
        <v>175</v>
      </c>
      <c r="K12" s="343">
        <v>7</v>
      </c>
      <c r="L12" s="122"/>
      <c r="M12" s="200"/>
    </row>
    <row r="13" spans="1:13" ht="47.25">
      <c r="A13" s="215">
        <v>2.7</v>
      </c>
      <c r="B13" s="217" t="s">
        <v>93</v>
      </c>
      <c r="C13" s="17" t="str">
        <f>"0912-7LEK-B"&amp;A13&amp;"-"&amp;UPPER(LEFT(B13,1))&amp;"zI"</f>
        <v>0912-7LEK-B2.7-BzI</v>
      </c>
      <c r="D13" s="227" t="s">
        <v>240</v>
      </c>
      <c r="E13" s="228">
        <v>80</v>
      </c>
      <c r="F13" s="228">
        <v>30</v>
      </c>
      <c r="G13" s="228">
        <v>50</v>
      </c>
      <c r="H13" s="228">
        <v>0</v>
      </c>
      <c r="I13" s="228">
        <v>0</v>
      </c>
      <c r="J13" s="228">
        <v>125</v>
      </c>
      <c r="K13" s="343">
        <v>5</v>
      </c>
      <c r="L13" s="122"/>
      <c r="M13" s="200"/>
    </row>
    <row r="14" spans="1:13" ht="78.75">
      <c r="A14" s="215">
        <v>2.8</v>
      </c>
      <c r="B14" s="217" t="s">
        <v>91</v>
      </c>
      <c r="C14" s="17" t="str">
        <f>"0912-7LEK-B"&amp;A14&amp;"-"&amp;UPPER(LEFT(B14,1))&amp;"P"</f>
        <v>0912-7LEK-B2.8-PP</v>
      </c>
      <c r="D14" s="227">
        <v>2</v>
      </c>
      <c r="E14" s="228">
        <v>35</v>
      </c>
      <c r="F14" s="228">
        <v>0</v>
      </c>
      <c r="G14" s="228">
        <v>15</v>
      </c>
      <c r="H14" s="228">
        <v>20</v>
      </c>
      <c r="I14" s="228">
        <v>0</v>
      </c>
      <c r="J14" s="228">
        <v>50</v>
      </c>
      <c r="K14" s="343">
        <v>2</v>
      </c>
      <c r="L14" s="122" t="s">
        <v>289</v>
      </c>
      <c r="M14" s="200"/>
    </row>
    <row r="15" spans="1:13">
      <c r="A15" s="592" t="s">
        <v>9</v>
      </c>
      <c r="B15" s="593"/>
      <c r="C15" s="593"/>
      <c r="D15" s="594"/>
      <c r="E15" s="239">
        <f>SUM(E7:E14)</f>
        <v>570</v>
      </c>
      <c r="F15" s="239">
        <f t="shared" ref="F15:K15" si="1">SUM(F7:F14)</f>
        <v>215</v>
      </c>
      <c r="G15" s="239">
        <f t="shared" si="1"/>
        <v>180</v>
      </c>
      <c r="H15" s="239">
        <f t="shared" si="1"/>
        <v>20</v>
      </c>
      <c r="I15" s="239">
        <f t="shared" si="1"/>
        <v>155</v>
      </c>
      <c r="J15" s="239">
        <f t="shared" si="1"/>
        <v>1075</v>
      </c>
      <c r="K15" s="341">
        <f t="shared" si="1"/>
        <v>43</v>
      </c>
      <c r="L15" s="122"/>
      <c r="M15" s="200"/>
    </row>
    <row r="16" spans="1:13">
      <c r="A16" s="585" t="s">
        <v>24</v>
      </c>
      <c r="B16" s="586"/>
      <c r="C16" s="586"/>
      <c r="D16" s="586"/>
      <c r="E16" s="586"/>
      <c r="F16" s="586"/>
      <c r="G16" s="586"/>
      <c r="H16" s="586"/>
      <c r="I16" s="586"/>
      <c r="J16" s="586"/>
      <c r="K16" s="586"/>
      <c r="L16" s="122"/>
      <c r="M16" s="200"/>
    </row>
    <row r="17" spans="1:13" ht="30">
      <c r="A17" s="216">
        <v>3.1</v>
      </c>
      <c r="B17" s="240" t="s">
        <v>41</v>
      </c>
      <c r="C17" s="203" t="str">
        <f>"0912-7LEK-C"&amp;A17&amp;"-"&amp;UPPER(LEFT(B17,1))</f>
        <v>0912-7LEK-C3.1-G</v>
      </c>
      <c r="D17" s="241">
        <v>3</v>
      </c>
      <c r="E17" s="242">
        <v>45</v>
      </c>
      <c r="F17" s="242">
        <v>15</v>
      </c>
      <c r="G17" s="242">
        <v>30</v>
      </c>
      <c r="H17" s="242">
        <v>0</v>
      </c>
      <c r="I17" s="242">
        <v>0</v>
      </c>
      <c r="J17" s="242">
        <v>100</v>
      </c>
      <c r="K17" s="342">
        <v>4</v>
      </c>
      <c r="L17" s="122"/>
      <c r="M17" s="200"/>
    </row>
    <row r="18" spans="1:13" ht="30">
      <c r="A18" s="215">
        <v>3.2</v>
      </c>
      <c r="B18" s="217" t="s">
        <v>42</v>
      </c>
      <c r="C18" s="17" t="str">
        <f t="shared" ref="C18:C22" si="2">"0912-7LEK-C"&amp;A18&amp;"-"&amp;UPPER(LEFT(B18,1))</f>
        <v>0912-7LEK-C3.2-M</v>
      </c>
      <c r="D18" s="227" t="s">
        <v>251</v>
      </c>
      <c r="E18" s="228">
        <v>100</v>
      </c>
      <c r="F18" s="228">
        <v>20</v>
      </c>
      <c r="G18" s="228">
        <v>40</v>
      </c>
      <c r="H18" s="228">
        <v>0</v>
      </c>
      <c r="I18" s="228">
        <v>40</v>
      </c>
      <c r="J18" s="228">
        <v>200</v>
      </c>
      <c r="K18" s="343">
        <v>8</v>
      </c>
      <c r="L18" s="122"/>
      <c r="M18" s="200"/>
    </row>
    <row r="19" spans="1:13" ht="30">
      <c r="A19" s="215">
        <v>3.3</v>
      </c>
      <c r="B19" s="217" t="s">
        <v>43</v>
      </c>
      <c r="C19" s="17" t="str">
        <f t="shared" si="2"/>
        <v>0912-7LEK-C3.3-P</v>
      </c>
      <c r="D19" s="227">
        <v>4</v>
      </c>
      <c r="E19" s="228">
        <v>45</v>
      </c>
      <c r="F19" s="228">
        <v>15</v>
      </c>
      <c r="G19" s="228">
        <v>15</v>
      </c>
      <c r="H19" s="228">
        <v>0</v>
      </c>
      <c r="I19" s="228">
        <v>15</v>
      </c>
      <c r="J19" s="228">
        <v>75</v>
      </c>
      <c r="K19" s="343">
        <v>3</v>
      </c>
      <c r="L19" s="122"/>
      <c r="M19" s="200"/>
    </row>
    <row r="20" spans="1:13" ht="15.75">
      <c r="A20" s="215">
        <v>3.4</v>
      </c>
      <c r="B20" s="217" t="s">
        <v>44</v>
      </c>
      <c r="C20" s="17" t="str">
        <f t="shared" si="2"/>
        <v>0912-7LEK-C3.4-I</v>
      </c>
      <c r="D20" s="227" t="s">
        <v>243</v>
      </c>
      <c r="E20" s="228">
        <v>45</v>
      </c>
      <c r="F20" s="228">
        <v>15</v>
      </c>
      <c r="G20" s="228">
        <v>10</v>
      </c>
      <c r="H20" s="228">
        <v>0</v>
      </c>
      <c r="I20" s="228">
        <v>20</v>
      </c>
      <c r="J20" s="228">
        <v>75</v>
      </c>
      <c r="K20" s="343">
        <v>3</v>
      </c>
      <c r="L20" s="122"/>
      <c r="M20" s="200"/>
    </row>
    <row r="21" spans="1:13" ht="30">
      <c r="A21" s="215">
        <v>3.5</v>
      </c>
      <c r="B21" s="217" t="s">
        <v>45</v>
      </c>
      <c r="C21" s="17" t="str">
        <f t="shared" si="2"/>
        <v>0912-7LEK-C3.5-P</v>
      </c>
      <c r="D21" s="227" t="s">
        <v>252</v>
      </c>
      <c r="E21" s="228">
        <v>135</v>
      </c>
      <c r="F21" s="228">
        <v>45</v>
      </c>
      <c r="G21" s="228">
        <v>90</v>
      </c>
      <c r="H21" s="228">
        <v>0</v>
      </c>
      <c r="I21" s="228">
        <v>0</v>
      </c>
      <c r="J21" s="228">
        <v>275</v>
      </c>
      <c r="K21" s="343">
        <v>11</v>
      </c>
      <c r="L21" s="122"/>
      <c r="M21" s="200"/>
    </row>
    <row r="22" spans="1:13" ht="31.5">
      <c r="A22" s="215">
        <v>3.6</v>
      </c>
      <c r="B22" s="217" t="s">
        <v>46</v>
      </c>
      <c r="C22" s="17" t="str">
        <f t="shared" si="2"/>
        <v>0912-7LEK-C3.6-F</v>
      </c>
      <c r="D22" s="227" t="s">
        <v>252</v>
      </c>
      <c r="E22" s="228">
        <v>130</v>
      </c>
      <c r="F22" s="228">
        <v>50</v>
      </c>
      <c r="G22" s="228">
        <v>80</v>
      </c>
      <c r="H22" s="228">
        <v>0</v>
      </c>
      <c r="I22" s="228">
        <v>0</v>
      </c>
      <c r="J22" s="228">
        <v>250</v>
      </c>
      <c r="K22" s="343">
        <v>10</v>
      </c>
      <c r="L22" s="122"/>
      <c r="M22" s="200"/>
    </row>
    <row r="23" spans="1:13">
      <c r="A23" s="592" t="s">
        <v>9</v>
      </c>
      <c r="B23" s="593"/>
      <c r="C23" s="593"/>
      <c r="D23" s="594"/>
      <c r="E23" s="239">
        <f>SUM(E17:E22)</f>
        <v>500</v>
      </c>
      <c r="F23" s="239">
        <f t="shared" ref="F23:K23" si="3">SUM(F17:F22)</f>
        <v>160</v>
      </c>
      <c r="G23" s="239">
        <f t="shared" si="3"/>
        <v>265</v>
      </c>
      <c r="H23" s="239">
        <f t="shared" si="3"/>
        <v>0</v>
      </c>
      <c r="I23" s="239">
        <f t="shared" si="3"/>
        <v>75</v>
      </c>
      <c r="J23" s="239">
        <f t="shared" si="3"/>
        <v>975</v>
      </c>
      <c r="K23" s="341">
        <f t="shared" si="3"/>
        <v>39</v>
      </c>
      <c r="L23" s="122"/>
      <c r="M23" s="200"/>
    </row>
    <row r="24" spans="1:13">
      <c r="A24" s="585" t="s">
        <v>34</v>
      </c>
      <c r="B24" s="586"/>
      <c r="C24" s="586"/>
      <c r="D24" s="586"/>
      <c r="E24" s="586"/>
      <c r="F24" s="586"/>
      <c r="G24" s="586"/>
      <c r="H24" s="586"/>
      <c r="I24" s="586"/>
      <c r="J24" s="586"/>
      <c r="K24" s="586"/>
      <c r="L24" s="122"/>
      <c r="M24" s="200"/>
    </row>
    <row r="25" spans="1:13" ht="31.5">
      <c r="A25" s="326">
        <v>4.0999999999999996</v>
      </c>
      <c r="B25" s="240" t="s">
        <v>47</v>
      </c>
      <c r="C25" s="203" t="str">
        <f>"0912-7LEK-B"&amp;A25&amp;"-"&amp;UPPER(LEFT(B25,1))</f>
        <v>0912-7LEK-B4.1-S</v>
      </c>
      <c r="D25" s="241">
        <v>2</v>
      </c>
      <c r="E25" s="242">
        <v>15</v>
      </c>
      <c r="F25" s="242">
        <v>15</v>
      </c>
      <c r="G25" s="242">
        <v>0</v>
      </c>
      <c r="H25" s="242">
        <v>0</v>
      </c>
      <c r="I25" s="242">
        <v>0</v>
      </c>
      <c r="J25" s="242">
        <v>25</v>
      </c>
      <c r="K25" s="342">
        <v>1</v>
      </c>
      <c r="L25" s="122"/>
      <c r="M25" s="200"/>
    </row>
    <row r="26" spans="1:13" ht="31.5">
      <c r="A26" s="215">
        <v>4.2</v>
      </c>
      <c r="B26" s="217" t="s">
        <v>48</v>
      </c>
      <c r="C26" s="17" t="str">
        <f t="shared" ref="C26:C29" si="4">"0912-7LEK-B"&amp;A26&amp;"-"&amp;UPPER(LEFT(B26,1))</f>
        <v>0912-7LEK-B4.2-P</v>
      </c>
      <c r="D26" s="227">
        <v>2</v>
      </c>
      <c r="E26" s="228">
        <v>15</v>
      </c>
      <c r="F26" s="228">
        <v>15</v>
      </c>
      <c r="G26" s="228">
        <v>0</v>
      </c>
      <c r="H26" s="228">
        <v>0</v>
      </c>
      <c r="I26" s="228">
        <v>0</v>
      </c>
      <c r="J26" s="228">
        <v>25</v>
      </c>
      <c r="K26" s="343">
        <v>1</v>
      </c>
      <c r="L26" s="122"/>
      <c r="M26" s="200"/>
    </row>
    <row r="27" spans="1:13" ht="30">
      <c r="A27" s="6">
        <v>4.3</v>
      </c>
      <c r="B27" s="217" t="s">
        <v>49</v>
      </c>
      <c r="C27" s="17" t="str">
        <f t="shared" si="4"/>
        <v>0912-7LEK-B4.3-E</v>
      </c>
      <c r="D27" s="227">
        <v>1</v>
      </c>
      <c r="E27" s="228">
        <v>15</v>
      </c>
      <c r="F27" s="228">
        <v>15</v>
      </c>
      <c r="G27" s="228">
        <v>0</v>
      </c>
      <c r="H27" s="228">
        <v>0</v>
      </c>
      <c r="I27" s="228">
        <v>0</v>
      </c>
      <c r="J27" s="228">
        <v>25</v>
      </c>
      <c r="K27" s="343">
        <v>1</v>
      </c>
      <c r="L27" s="122"/>
      <c r="M27" s="200"/>
    </row>
    <row r="28" spans="1:13" ht="47.25">
      <c r="A28" s="215">
        <v>4.4000000000000004</v>
      </c>
      <c r="B28" s="217" t="s">
        <v>92</v>
      </c>
      <c r="C28" s="17" t="str">
        <f t="shared" si="4"/>
        <v>0912-7LEK-B4.4-E</v>
      </c>
      <c r="D28" s="227">
        <v>1</v>
      </c>
      <c r="E28" s="228">
        <v>15</v>
      </c>
      <c r="F28" s="228">
        <v>15</v>
      </c>
      <c r="G28" s="228">
        <v>0</v>
      </c>
      <c r="H28" s="228">
        <v>0</v>
      </c>
      <c r="I28" s="228">
        <v>0</v>
      </c>
      <c r="J28" s="228">
        <v>25</v>
      </c>
      <c r="K28" s="343">
        <v>1</v>
      </c>
      <c r="L28" s="122"/>
      <c r="M28" s="200"/>
    </row>
    <row r="29" spans="1:13" ht="31.5">
      <c r="A29" s="326">
        <v>4.5</v>
      </c>
      <c r="B29" s="217" t="s">
        <v>50</v>
      </c>
      <c r="C29" s="17" t="str">
        <f t="shared" si="4"/>
        <v>0912-7LEK-B4.5-H</v>
      </c>
      <c r="D29" s="227" t="s">
        <v>241</v>
      </c>
      <c r="E29" s="228">
        <v>30</v>
      </c>
      <c r="F29" s="228">
        <v>30</v>
      </c>
      <c r="G29" s="228">
        <v>0</v>
      </c>
      <c r="H29" s="228">
        <v>0</v>
      </c>
      <c r="I29" s="228">
        <v>0</v>
      </c>
      <c r="J29" s="228">
        <v>0</v>
      </c>
      <c r="K29" s="343">
        <v>1</v>
      </c>
      <c r="L29" s="122"/>
      <c r="M29" s="200"/>
    </row>
    <row r="30" spans="1:13">
      <c r="A30" s="592" t="s">
        <v>9</v>
      </c>
      <c r="B30" s="593"/>
      <c r="C30" s="593"/>
      <c r="D30" s="594"/>
      <c r="E30" s="239">
        <f t="shared" ref="E30:K30" si="5">SUM(E25:E29)</f>
        <v>90</v>
      </c>
      <c r="F30" s="239">
        <f t="shared" si="5"/>
        <v>90</v>
      </c>
      <c r="G30" s="239">
        <f t="shared" si="5"/>
        <v>0</v>
      </c>
      <c r="H30" s="239">
        <f t="shared" si="5"/>
        <v>0</v>
      </c>
      <c r="I30" s="239">
        <f t="shared" si="5"/>
        <v>0</v>
      </c>
      <c r="J30" s="239">
        <f t="shared" si="5"/>
        <v>100</v>
      </c>
      <c r="K30" s="341">
        <f t="shared" si="5"/>
        <v>5</v>
      </c>
      <c r="L30" s="122"/>
      <c r="M30" s="200"/>
    </row>
    <row r="31" spans="1:13">
      <c r="A31" s="585" t="s">
        <v>25</v>
      </c>
      <c r="B31" s="586"/>
      <c r="C31" s="586"/>
      <c r="D31" s="586"/>
      <c r="E31" s="586"/>
      <c r="F31" s="586"/>
      <c r="G31" s="586"/>
      <c r="H31" s="586"/>
      <c r="I31" s="586"/>
      <c r="J31" s="586"/>
      <c r="K31" s="586"/>
      <c r="L31" s="122"/>
      <c r="M31" s="200"/>
    </row>
    <row r="32" spans="1:13" ht="30">
      <c r="A32" s="326">
        <v>5.0999999999999996</v>
      </c>
      <c r="B32" s="240" t="s">
        <v>51</v>
      </c>
      <c r="C32" s="203" t="str">
        <f>"0912-7LEK-C"&amp;A32&amp;"-"&amp;UPPER(LEFT(B32,1))</f>
        <v>0912-7LEK-C5.1-P</v>
      </c>
      <c r="D32" s="241" t="s">
        <v>281</v>
      </c>
      <c r="E32" s="242">
        <v>240</v>
      </c>
      <c r="F32" s="242">
        <v>60</v>
      </c>
      <c r="G32" s="242">
        <v>70</v>
      </c>
      <c r="H32" s="242">
        <v>110</v>
      </c>
      <c r="I32" s="242">
        <v>0</v>
      </c>
      <c r="J32" s="242">
        <v>375</v>
      </c>
      <c r="K32" s="342">
        <v>15</v>
      </c>
      <c r="L32" s="122" t="s">
        <v>288</v>
      </c>
      <c r="M32" s="200"/>
    </row>
    <row r="33" spans="1:13" ht="31.5">
      <c r="A33" s="6">
        <v>5.2</v>
      </c>
      <c r="B33" s="217" t="s">
        <v>80</v>
      </c>
      <c r="C33" s="17" t="str">
        <f>"0912-7LEK-C"&amp;A33&amp;"-"&amp;UPPER(LEFT(B33,1))&amp;"W"</f>
        <v>0912-7LEK-C5.2-CW</v>
      </c>
      <c r="D33" s="227" t="s">
        <v>281</v>
      </c>
      <c r="E33" s="228">
        <v>210</v>
      </c>
      <c r="F33" s="228">
        <v>60</v>
      </c>
      <c r="G33" s="228">
        <v>60</v>
      </c>
      <c r="H33" s="228">
        <v>90</v>
      </c>
      <c r="I33" s="228">
        <v>0</v>
      </c>
      <c r="J33" s="228">
        <v>300</v>
      </c>
      <c r="K33" s="343">
        <v>12</v>
      </c>
      <c r="L33" s="346" t="s">
        <v>297</v>
      </c>
      <c r="M33" s="200"/>
    </row>
    <row r="34" spans="1:13" ht="30">
      <c r="A34" s="6">
        <v>5.3</v>
      </c>
      <c r="B34" s="217" t="s">
        <v>52</v>
      </c>
      <c r="C34" s="17" t="str">
        <f t="shared" ref="C34:C41" si="6">"0912-7LEK-C"&amp;A34&amp;"-"&amp;UPPER(LEFT(B34,1))</f>
        <v>0912-7LEK-C5.3-G</v>
      </c>
      <c r="D34" s="227">
        <v>10</v>
      </c>
      <c r="E34" s="228">
        <v>55</v>
      </c>
      <c r="F34" s="228">
        <v>15</v>
      </c>
      <c r="G34" s="228">
        <v>40</v>
      </c>
      <c r="H34" s="228">
        <v>0</v>
      </c>
      <c r="I34" s="228">
        <v>0</v>
      </c>
      <c r="J34" s="228">
        <v>75</v>
      </c>
      <c r="K34" s="343">
        <v>3</v>
      </c>
      <c r="L34" s="122" t="s">
        <v>299</v>
      </c>
      <c r="M34" s="200"/>
    </row>
    <row r="35" spans="1:13" ht="30">
      <c r="A35" s="6">
        <v>5.4</v>
      </c>
      <c r="B35" s="217" t="s">
        <v>53</v>
      </c>
      <c r="C35" s="17" t="str">
        <f t="shared" si="6"/>
        <v>0912-7LEK-C5.4-N</v>
      </c>
      <c r="D35" s="227">
        <v>7</v>
      </c>
      <c r="E35" s="228">
        <v>60</v>
      </c>
      <c r="F35" s="228">
        <v>15</v>
      </c>
      <c r="G35" s="228">
        <v>15</v>
      </c>
      <c r="H35" s="228">
        <v>30</v>
      </c>
      <c r="I35" s="228">
        <v>0</v>
      </c>
      <c r="J35" s="228">
        <v>100</v>
      </c>
      <c r="K35" s="343">
        <v>4</v>
      </c>
      <c r="L35" s="122" t="s">
        <v>302</v>
      </c>
      <c r="M35" s="200"/>
    </row>
    <row r="36" spans="1:13" ht="30">
      <c r="A36" s="6">
        <v>5.5</v>
      </c>
      <c r="B36" s="217" t="s">
        <v>54</v>
      </c>
      <c r="C36" s="17" t="str">
        <f t="shared" si="6"/>
        <v>0912-7LEK-C5.5-P</v>
      </c>
      <c r="D36" s="227">
        <v>8</v>
      </c>
      <c r="E36" s="228">
        <v>60</v>
      </c>
      <c r="F36" s="228">
        <v>15</v>
      </c>
      <c r="G36" s="228">
        <v>15</v>
      </c>
      <c r="H36" s="228">
        <v>30</v>
      </c>
      <c r="I36" s="228">
        <v>0</v>
      </c>
      <c r="J36" s="228">
        <v>100</v>
      </c>
      <c r="K36" s="343">
        <v>4</v>
      </c>
      <c r="L36" s="122" t="s">
        <v>290</v>
      </c>
      <c r="M36" s="200"/>
    </row>
    <row r="37" spans="1:13" ht="30">
      <c r="A37" s="6">
        <v>5.6</v>
      </c>
      <c r="B37" s="217" t="s">
        <v>55</v>
      </c>
      <c r="C37" s="17" t="str">
        <f t="shared" si="6"/>
        <v>0912-7LEK-C5.6-O</v>
      </c>
      <c r="D37" s="227">
        <v>7</v>
      </c>
      <c r="E37" s="228">
        <v>55</v>
      </c>
      <c r="F37" s="228">
        <v>15</v>
      </c>
      <c r="G37" s="228">
        <v>15</v>
      </c>
      <c r="H37" s="228">
        <v>25</v>
      </c>
      <c r="I37" s="228">
        <v>0</v>
      </c>
      <c r="J37" s="228">
        <v>100</v>
      </c>
      <c r="K37" s="343">
        <v>4</v>
      </c>
      <c r="L37" s="122" t="s">
        <v>291</v>
      </c>
      <c r="M37" s="200"/>
    </row>
    <row r="38" spans="1:13" ht="31.5">
      <c r="A38" s="6">
        <v>5.7</v>
      </c>
      <c r="B38" s="217" t="s">
        <v>56</v>
      </c>
      <c r="C38" s="17" t="str">
        <f>"0912-7LEK-C"&amp;A38&amp;"-"&amp;UPPER(LEFT(B38,1))&amp;"R"</f>
        <v>0912-7LEK-C5.7-MR</v>
      </c>
      <c r="D38" s="227">
        <v>9</v>
      </c>
      <c r="E38" s="228">
        <v>55</v>
      </c>
      <c r="F38" s="228">
        <v>15</v>
      </c>
      <c r="G38" s="228">
        <v>40</v>
      </c>
      <c r="H38" s="228">
        <v>0</v>
      </c>
      <c r="I38" s="228">
        <v>0</v>
      </c>
      <c r="J38" s="228">
        <v>100</v>
      </c>
      <c r="K38" s="343">
        <v>4</v>
      </c>
      <c r="L38" s="122"/>
      <c r="M38" s="200"/>
    </row>
    <row r="39" spans="1:13" ht="31.5">
      <c r="A39" s="6">
        <v>5.8</v>
      </c>
      <c r="B39" s="217" t="s">
        <v>57</v>
      </c>
      <c r="C39" s="17" t="str">
        <f>"0912-7LEK-C"&amp;A39&amp;"-"&amp;UPPER(LEFT(B39,1))&amp;"iW"</f>
        <v>0912-7LEK-C5.8-DiW</v>
      </c>
      <c r="D39" s="227">
        <v>6</v>
      </c>
      <c r="E39" s="228">
        <v>55</v>
      </c>
      <c r="F39" s="228">
        <v>15</v>
      </c>
      <c r="G39" s="228">
        <v>15</v>
      </c>
      <c r="H39" s="228">
        <v>25</v>
      </c>
      <c r="I39" s="228">
        <v>0</v>
      </c>
      <c r="J39" s="228">
        <v>75</v>
      </c>
      <c r="K39" s="343">
        <v>3</v>
      </c>
      <c r="L39" s="122" t="s">
        <v>304</v>
      </c>
      <c r="M39" s="200"/>
    </row>
    <row r="40" spans="1:13" ht="31.5">
      <c r="A40" s="6">
        <v>5.9</v>
      </c>
      <c r="B40" s="217" t="s">
        <v>58</v>
      </c>
      <c r="C40" s="17" t="str">
        <f>"0912-7LEK-C"&amp;A40&amp;"-"&amp;UPPER(LEFT(B40,1))&amp;"Z"</f>
        <v>0912-7LEK-C5.9-CZ</v>
      </c>
      <c r="D40" s="227" t="s">
        <v>149</v>
      </c>
      <c r="E40" s="228">
        <v>70</v>
      </c>
      <c r="F40" s="228">
        <v>15</v>
      </c>
      <c r="G40" s="228">
        <v>20</v>
      </c>
      <c r="H40" s="228">
        <v>35</v>
      </c>
      <c r="I40" s="228">
        <v>0</v>
      </c>
      <c r="J40" s="228">
        <v>100</v>
      </c>
      <c r="K40" s="343">
        <v>4</v>
      </c>
      <c r="L40" s="122"/>
      <c r="M40" s="200"/>
    </row>
    <row r="41" spans="1:13" ht="30">
      <c r="A41" s="219">
        <v>5.0999999999999996</v>
      </c>
      <c r="B41" s="217" t="s">
        <v>59</v>
      </c>
      <c r="C41" s="17" t="str">
        <f t="shared" si="6"/>
        <v>0912-7LEK-C5.1-R</v>
      </c>
      <c r="D41" s="227">
        <v>7</v>
      </c>
      <c r="E41" s="228">
        <v>50</v>
      </c>
      <c r="F41" s="228">
        <v>15</v>
      </c>
      <c r="G41" s="228">
        <v>15</v>
      </c>
      <c r="H41" s="228">
        <v>20</v>
      </c>
      <c r="I41" s="228">
        <v>0</v>
      </c>
      <c r="J41" s="228">
        <v>70</v>
      </c>
      <c r="K41" s="343">
        <v>3</v>
      </c>
      <c r="L41" s="122" t="s">
        <v>303</v>
      </c>
      <c r="M41" s="200"/>
    </row>
    <row r="42" spans="1:13" ht="60">
      <c r="A42" s="219">
        <v>5.1100000000000003</v>
      </c>
      <c r="B42" s="217" t="s">
        <v>60</v>
      </c>
      <c r="C42" s="17" t="str">
        <f>"0912-7LEK-C"&amp;A42&amp;"-"&amp;UPPER(LEFT(B42,1))&amp;"L"</f>
        <v>0912-7LEK-C5.11-DL</v>
      </c>
      <c r="D42" s="227" t="s">
        <v>147</v>
      </c>
      <c r="E42" s="228">
        <v>55</v>
      </c>
      <c r="F42" s="228">
        <v>15</v>
      </c>
      <c r="G42" s="228">
        <v>40</v>
      </c>
      <c r="H42" s="228">
        <v>0</v>
      </c>
      <c r="I42" s="228">
        <v>0</v>
      </c>
      <c r="J42" s="228">
        <v>100</v>
      </c>
      <c r="K42" s="343">
        <v>4</v>
      </c>
      <c r="L42" s="346" t="s">
        <v>296</v>
      </c>
      <c r="M42" s="200"/>
    </row>
    <row r="43" spans="1:13" ht="31.5">
      <c r="A43" s="219">
        <v>5.12</v>
      </c>
      <c r="B43" s="217" t="s">
        <v>61</v>
      </c>
      <c r="C43" s="17" t="str">
        <f>"0912-7LEK-C"&amp;A43&amp;"-"&amp;UPPER(LEFT(B43,1))&amp;"K"</f>
        <v>0912-7LEK-C5.12-FK</v>
      </c>
      <c r="D43" s="227" t="s">
        <v>146</v>
      </c>
      <c r="E43" s="228">
        <v>45</v>
      </c>
      <c r="F43" s="228">
        <v>20</v>
      </c>
      <c r="G43" s="228">
        <v>10</v>
      </c>
      <c r="H43" s="228">
        <v>15</v>
      </c>
      <c r="I43" s="228">
        <v>0</v>
      </c>
      <c r="J43" s="228">
        <v>65</v>
      </c>
      <c r="K43" s="343">
        <v>3</v>
      </c>
      <c r="L43" s="122" t="s">
        <v>292</v>
      </c>
      <c r="M43" s="200"/>
    </row>
    <row r="44" spans="1:13">
      <c r="A44" s="592" t="s">
        <v>9</v>
      </c>
      <c r="B44" s="593"/>
      <c r="C44" s="593"/>
      <c r="D44" s="594"/>
      <c r="E44" s="239">
        <f>SUM(E32:E43)</f>
        <v>1010</v>
      </c>
      <c r="F44" s="239">
        <f t="shared" ref="F44:K44" si="7">SUM(F32:F43)</f>
        <v>275</v>
      </c>
      <c r="G44" s="239">
        <f t="shared" si="7"/>
        <v>355</v>
      </c>
      <c r="H44" s="239">
        <f t="shared" si="7"/>
        <v>380</v>
      </c>
      <c r="I44" s="239">
        <f t="shared" si="7"/>
        <v>0</v>
      </c>
      <c r="J44" s="239">
        <f t="shared" si="7"/>
        <v>1560</v>
      </c>
      <c r="K44" s="341">
        <f t="shared" si="7"/>
        <v>63</v>
      </c>
      <c r="L44" s="122"/>
      <c r="M44" s="200"/>
    </row>
    <row r="45" spans="1:13">
      <c r="A45" s="585" t="s">
        <v>26</v>
      </c>
      <c r="B45" s="586"/>
      <c r="C45" s="586"/>
      <c r="D45" s="586"/>
      <c r="E45" s="586"/>
      <c r="F45" s="586"/>
      <c r="G45" s="586"/>
      <c r="H45" s="586"/>
      <c r="I45" s="586"/>
      <c r="J45" s="586"/>
      <c r="K45" s="586"/>
      <c r="L45" s="122"/>
      <c r="M45" s="200"/>
    </row>
    <row r="46" spans="1:13" ht="63">
      <c r="A46" s="326">
        <v>6.1</v>
      </c>
      <c r="B46" s="240" t="s">
        <v>62</v>
      </c>
      <c r="C46" s="316" t="str">
        <f>"0912-7LEK-C"&amp;A46&amp;"-"&amp;UPPER(LEFT(B46,1))&amp;"iIT"</f>
        <v>0912-7LEK-C6.1-AiIT</v>
      </c>
      <c r="D46" s="317" t="s">
        <v>245</v>
      </c>
      <c r="E46" s="318">
        <v>95</v>
      </c>
      <c r="F46" s="318">
        <v>30</v>
      </c>
      <c r="G46" s="318">
        <v>30</v>
      </c>
      <c r="H46" s="318">
        <v>35</v>
      </c>
      <c r="I46" s="318">
        <v>0</v>
      </c>
      <c r="J46" s="318">
        <v>125</v>
      </c>
      <c r="K46" s="344">
        <v>5</v>
      </c>
      <c r="L46" s="122" t="s">
        <v>293</v>
      </c>
      <c r="M46" s="200"/>
    </row>
    <row r="47" spans="1:13" ht="31.5">
      <c r="A47" s="6">
        <v>6.2</v>
      </c>
      <c r="B47" s="217" t="s">
        <v>63</v>
      </c>
      <c r="C47" s="203" t="str">
        <f>"0912-7LEK-C"&amp;A47&amp;"-"&amp;UPPER(LEFT(B47,1))&amp;""</f>
        <v>0912-7LEK-C6.2-C</v>
      </c>
      <c r="D47" s="227" t="s">
        <v>246</v>
      </c>
      <c r="E47" s="228">
        <v>255</v>
      </c>
      <c r="F47" s="228">
        <v>90</v>
      </c>
      <c r="G47" s="228">
        <v>90</v>
      </c>
      <c r="H47" s="228">
        <v>75</v>
      </c>
      <c r="I47" s="228">
        <v>0</v>
      </c>
      <c r="J47" s="228">
        <v>375</v>
      </c>
      <c r="K47" s="343">
        <v>15</v>
      </c>
      <c r="L47" s="122" t="s">
        <v>300</v>
      </c>
      <c r="M47" s="200"/>
    </row>
    <row r="48" spans="1:13" ht="31.5">
      <c r="A48" s="6">
        <v>6.3</v>
      </c>
      <c r="B48" s="217" t="s">
        <v>64</v>
      </c>
      <c r="C48" s="203" t="str">
        <f>"0912-7LEK-C"&amp;A48&amp;"-"&amp;UPPER(LEFT(B48,1))&amp;"D"</f>
        <v>0912-7LEK-C6.3-CD</v>
      </c>
      <c r="D48" s="227">
        <v>9</v>
      </c>
      <c r="E48" s="228">
        <v>55</v>
      </c>
      <c r="F48" s="228">
        <v>15</v>
      </c>
      <c r="G48" s="228">
        <v>15</v>
      </c>
      <c r="H48" s="228">
        <v>25</v>
      </c>
      <c r="I48" s="228">
        <v>0</v>
      </c>
      <c r="J48" s="228">
        <v>75</v>
      </c>
      <c r="K48" s="343">
        <v>3</v>
      </c>
      <c r="L48" s="122" t="s">
        <v>294</v>
      </c>
      <c r="M48" s="200"/>
    </row>
    <row r="49" spans="1:13" ht="47.25">
      <c r="A49" s="6">
        <v>6.4</v>
      </c>
      <c r="B49" s="217" t="s">
        <v>65</v>
      </c>
      <c r="C49" s="203" t="str">
        <f>"0912-7LEK-C"&amp;A49&amp;"-"&amp;UPPER(LEFT(B49,1))&amp;"iT"</f>
        <v>0912-7LEK-C6.4-OiT</v>
      </c>
      <c r="D49" s="227">
        <v>10</v>
      </c>
      <c r="E49" s="228">
        <v>55</v>
      </c>
      <c r="F49" s="228">
        <v>15</v>
      </c>
      <c r="G49" s="228">
        <v>15</v>
      </c>
      <c r="H49" s="228">
        <v>25</v>
      </c>
      <c r="I49" s="228">
        <v>0</v>
      </c>
      <c r="J49" s="228">
        <v>75</v>
      </c>
      <c r="K49" s="343">
        <v>3</v>
      </c>
      <c r="L49" s="122"/>
      <c r="M49" s="200"/>
    </row>
    <row r="50" spans="1:13" ht="31.5">
      <c r="A50" s="6">
        <v>6.5</v>
      </c>
      <c r="B50" s="217" t="s">
        <v>66</v>
      </c>
      <c r="C50" s="203" t="str">
        <f>"0912-7LEK-C"&amp;A50&amp;"-"&amp;UPPER(LEFT(B50,1))&amp;"O"</f>
        <v>0912-7LEK-C6.5-CO</v>
      </c>
      <c r="D50" s="227">
        <v>10</v>
      </c>
      <c r="E50" s="228">
        <v>45</v>
      </c>
      <c r="F50" s="228">
        <v>15</v>
      </c>
      <c r="G50" s="228">
        <v>10</v>
      </c>
      <c r="H50" s="228">
        <v>20</v>
      </c>
      <c r="I50" s="228">
        <v>0</v>
      </c>
      <c r="J50" s="228">
        <v>50</v>
      </c>
      <c r="K50" s="343">
        <v>2</v>
      </c>
      <c r="L50" s="122"/>
      <c r="M50" s="200"/>
    </row>
    <row r="51" spans="1:13" ht="30">
      <c r="A51" s="6">
        <v>6.6</v>
      </c>
      <c r="B51" s="220" t="s">
        <v>67</v>
      </c>
      <c r="C51" s="203" t="str">
        <f>"0912-7LEK-C"&amp;A51&amp;"-"&amp;UPPER(LEFT(B51,1))&amp;""</f>
        <v>0912-7LEK-C6.6-U</v>
      </c>
      <c r="D51" s="227">
        <v>10</v>
      </c>
      <c r="E51" s="228">
        <v>45</v>
      </c>
      <c r="F51" s="228">
        <v>15</v>
      </c>
      <c r="G51" s="228">
        <v>15</v>
      </c>
      <c r="H51" s="228">
        <v>15</v>
      </c>
      <c r="I51" s="228">
        <v>0</v>
      </c>
      <c r="J51" s="228">
        <v>75</v>
      </c>
      <c r="K51" s="343">
        <v>3</v>
      </c>
      <c r="L51" s="122"/>
      <c r="M51" s="200"/>
    </row>
    <row r="52" spans="1:13" ht="31.5">
      <c r="A52" s="6">
        <v>6.7</v>
      </c>
      <c r="B52" s="220" t="s">
        <v>68</v>
      </c>
      <c r="C52" s="203" t="str">
        <f>"0912-7LEK-C"&amp;A52&amp;"-"&amp;UPPER(LEFT(B52,1))&amp;""</f>
        <v>0912-7LEK-C6.7-O</v>
      </c>
      <c r="D52" s="227">
        <v>9</v>
      </c>
      <c r="E52" s="228">
        <v>45</v>
      </c>
      <c r="F52" s="228">
        <v>15</v>
      </c>
      <c r="G52" s="228">
        <v>30</v>
      </c>
      <c r="H52" s="228">
        <v>0</v>
      </c>
      <c r="I52" s="228">
        <v>0</v>
      </c>
      <c r="J52" s="228">
        <v>75</v>
      </c>
      <c r="K52" s="343">
        <v>3</v>
      </c>
      <c r="L52" s="122"/>
      <c r="M52" s="200"/>
    </row>
    <row r="53" spans="1:13" ht="63">
      <c r="A53" s="6">
        <v>6.8</v>
      </c>
      <c r="B53" s="220" t="s">
        <v>69</v>
      </c>
      <c r="C53" s="203" t="str">
        <f>"0912-7LEK-C"&amp;A53&amp;"-"&amp;UPPER(LEFT(B53,1))&amp;"R"</f>
        <v>0912-7LEK-C6.8-MR</v>
      </c>
      <c r="D53" s="227">
        <v>10</v>
      </c>
      <c r="E53" s="228">
        <v>40</v>
      </c>
      <c r="F53" s="228">
        <v>15</v>
      </c>
      <c r="G53" s="228">
        <v>10</v>
      </c>
      <c r="H53" s="228">
        <v>15</v>
      </c>
      <c r="I53" s="228">
        <v>0</v>
      </c>
      <c r="J53" s="228">
        <v>50</v>
      </c>
      <c r="K53" s="343">
        <v>2</v>
      </c>
      <c r="L53" s="122"/>
      <c r="M53" s="200"/>
    </row>
    <row r="54" spans="1:13" ht="31.5">
      <c r="A54" s="6">
        <v>6.9</v>
      </c>
      <c r="B54" s="220" t="s">
        <v>70</v>
      </c>
      <c r="C54" s="203" t="str">
        <f>"0912-7LEK-C"&amp;A54&amp;"-"&amp;UPPER(LEFT(B54,1))&amp;"iP"</f>
        <v>0912-7LEK-C6.9-GiP</v>
      </c>
      <c r="D54" s="227" t="s">
        <v>247</v>
      </c>
      <c r="E54" s="228">
        <v>110</v>
      </c>
      <c r="F54" s="228">
        <v>30</v>
      </c>
      <c r="G54" s="228">
        <v>55</v>
      </c>
      <c r="H54" s="228">
        <v>25</v>
      </c>
      <c r="I54" s="228">
        <v>0</v>
      </c>
      <c r="J54" s="228">
        <v>150</v>
      </c>
      <c r="K54" s="343">
        <v>6</v>
      </c>
      <c r="L54" s="122" t="s">
        <v>295</v>
      </c>
      <c r="M54" s="200"/>
    </row>
    <row r="55" spans="1:13" ht="30">
      <c r="A55" s="219">
        <v>6.1</v>
      </c>
      <c r="B55" s="220" t="s">
        <v>71</v>
      </c>
      <c r="C55" s="203" t="str">
        <f>"0912-7LEK-C"&amp;A55&amp;"-"&amp;UPPER(LEFT(B55,1))&amp;""</f>
        <v>0912-7LEK-C6.1-O</v>
      </c>
      <c r="D55" s="227">
        <v>10</v>
      </c>
      <c r="E55" s="228">
        <v>40</v>
      </c>
      <c r="F55" s="228">
        <v>15</v>
      </c>
      <c r="G55" s="228">
        <v>10</v>
      </c>
      <c r="H55" s="228">
        <v>15</v>
      </c>
      <c r="I55" s="228">
        <v>0</v>
      </c>
      <c r="J55" s="228">
        <v>50</v>
      </c>
      <c r="K55" s="343">
        <v>2</v>
      </c>
      <c r="L55" s="122"/>
      <c r="M55" s="200"/>
    </row>
    <row r="56" spans="1:13" ht="31.5">
      <c r="A56" s="219">
        <v>6.11</v>
      </c>
      <c r="B56" s="220" t="s">
        <v>72</v>
      </c>
      <c r="C56" s="203" t="str">
        <f>"0912-7LEK-C"&amp;A56&amp;"-"&amp;UPPER(LEFT(B56,1))&amp;""</f>
        <v>0912-7LEK-C6.11-N</v>
      </c>
      <c r="D56" s="227">
        <v>10</v>
      </c>
      <c r="E56" s="228">
        <v>45</v>
      </c>
      <c r="F56" s="228">
        <v>15</v>
      </c>
      <c r="G56" s="228">
        <v>15</v>
      </c>
      <c r="H56" s="228">
        <v>15</v>
      </c>
      <c r="I56" s="228">
        <v>0</v>
      </c>
      <c r="J56" s="228">
        <v>50</v>
      </c>
      <c r="K56" s="343">
        <v>2</v>
      </c>
      <c r="L56" s="122"/>
      <c r="M56" s="200"/>
    </row>
    <row r="57" spans="1:13" ht="31.5">
      <c r="A57" s="219">
        <v>6.12</v>
      </c>
      <c r="B57" s="220" t="s">
        <v>73</v>
      </c>
      <c r="C57" s="203" t="str">
        <f>"0912-7LEK-C"&amp;A57&amp;"-"&amp;UPPER(LEFT(B57,1))&amp;""</f>
        <v>0912-7LEK-C6.12-T</v>
      </c>
      <c r="D57" s="227" t="s">
        <v>130</v>
      </c>
      <c r="E57" s="228">
        <v>15</v>
      </c>
      <c r="F57" s="228">
        <v>15</v>
      </c>
      <c r="G57" s="228">
        <v>0</v>
      </c>
      <c r="H57" s="228">
        <v>0</v>
      </c>
      <c r="I57" s="228">
        <v>0</v>
      </c>
      <c r="J57" s="228">
        <v>25</v>
      </c>
      <c r="K57" s="343">
        <v>1</v>
      </c>
      <c r="L57" s="122"/>
      <c r="M57" s="200"/>
    </row>
    <row r="58" spans="1:13" ht="31.5">
      <c r="A58" s="219">
        <v>6.13</v>
      </c>
      <c r="B58" s="220" t="s">
        <v>74</v>
      </c>
      <c r="C58" s="203" t="str">
        <f>"0912-7LEK-C"&amp;A58&amp;"-"&amp;UPPER(LEFT(B58,1))&amp;"O"</f>
        <v>0912-7LEK-C6.13-DO</v>
      </c>
      <c r="D58" s="227">
        <v>8</v>
      </c>
      <c r="E58" s="228">
        <v>55</v>
      </c>
      <c r="F58" s="228">
        <v>15</v>
      </c>
      <c r="G58" s="228">
        <v>15</v>
      </c>
      <c r="H58" s="228">
        <v>25</v>
      </c>
      <c r="I58" s="228">
        <v>0</v>
      </c>
      <c r="J58" s="228">
        <v>75</v>
      </c>
      <c r="K58" s="343">
        <v>3</v>
      </c>
      <c r="L58" s="122"/>
      <c r="M58" s="200"/>
    </row>
    <row r="59" spans="1:13">
      <c r="A59" s="592" t="s">
        <v>9</v>
      </c>
      <c r="B59" s="593"/>
      <c r="C59" s="593"/>
      <c r="D59" s="594"/>
      <c r="E59" s="239">
        <f>SUM(E46:E58)</f>
        <v>900</v>
      </c>
      <c r="F59" s="239">
        <f t="shared" ref="F59:K59" si="8">SUM(F46:F58)</f>
        <v>300</v>
      </c>
      <c r="G59" s="239">
        <f t="shared" si="8"/>
        <v>310</v>
      </c>
      <c r="H59" s="239">
        <f t="shared" si="8"/>
        <v>290</v>
      </c>
      <c r="I59" s="239">
        <f t="shared" si="8"/>
        <v>0</v>
      </c>
      <c r="J59" s="239">
        <f t="shared" si="8"/>
        <v>1250</v>
      </c>
      <c r="K59" s="341">
        <f t="shared" si="8"/>
        <v>50</v>
      </c>
      <c r="L59" s="122"/>
      <c r="M59" s="200"/>
    </row>
    <row r="60" spans="1:13">
      <c r="A60" s="585" t="s">
        <v>27</v>
      </c>
      <c r="B60" s="586"/>
      <c r="C60" s="586"/>
      <c r="D60" s="586"/>
      <c r="E60" s="586"/>
      <c r="F60" s="586"/>
      <c r="G60" s="586"/>
      <c r="H60" s="586"/>
      <c r="I60" s="586"/>
      <c r="J60" s="586"/>
      <c r="K60" s="586"/>
      <c r="L60" s="122"/>
      <c r="M60" s="200"/>
    </row>
    <row r="61" spans="1:13" ht="30">
      <c r="A61" s="326">
        <v>7.1</v>
      </c>
      <c r="B61" s="243" t="s">
        <v>75</v>
      </c>
      <c r="C61" s="203" t="str">
        <f>"0912-7LEK-C"&amp;A61&amp;"-"&amp;UPPER(LEFT(B61,1))</f>
        <v>0912-7LEK-C7.1-H</v>
      </c>
      <c r="D61" s="241" t="s">
        <v>243</v>
      </c>
      <c r="E61" s="242">
        <v>15</v>
      </c>
      <c r="F61" s="242">
        <v>15</v>
      </c>
      <c r="G61" s="242">
        <v>0</v>
      </c>
      <c r="H61" s="242">
        <v>0</v>
      </c>
      <c r="I61" s="242">
        <v>0</v>
      </c>
      <c r="J61" s="242">
        <v>25</v>
      </c>
      <c r="K61" s="342">
        <v>1</v>
      </c>
      <c r="L61" s="122"/>
      <c r="M61" s="200"/>
    </row>
    <row r="62" spans="1:13" ht="30">
      <c r="A62" s="6">
        <v>7.2</v>
      </c>
      <c r="B62" s="220" t="s">
        <v>76</v>
      </c>
      <c r="C62" s="17" t="str">
        <f t="shared" ref="C62:C65" si="9">"0912-7LEK-C"&amp;A62&amp;"-"&amp;UPPER(LEFT(B62,1))</f>
        <v>0912-7LEK-C7.2-E</v>
      </c>
      <c r="D62" s="227" t="s">
        <v>243</v>
      </c>
      <c r="E62" s="228">
        <v>15</v>
      </c>
      <c r="F62" s="228">
        <v>15</v>
      </c>
      <c r="G62" s="228">
        <v>0</v>
      </c>
      <c r="H62" s="228">
        <v>0</v>
      </c>
      <c r="I62" s="228">
        <v>0</v>
      </c>
      <c r="J62" s="228">
        <v>25</v>
      </c>
      <c r="K62" s="343">
        <v>1</v>
      </c>
      <c r="L62" s="122"/>
      <c r="M62" s="200"/>
    </row>
    <row r="63" spans="1:13" ht="31.5">
      <c r="A63" s="6">
        <v>7.3</v>
      </c>
      <c r="B63" s="220" t="s">
        <v>77</v>
      </c>
      <c r="C63" s="17" t="str">
        <f t="shared" si="9"/>
        <v>0912-7LEK-C7.3-Z</v>
      </c>
      <c r="D63" s="227" t="s">
        <v>145</v>
      </c>
      <c r="E63" s="228">
        <v>15</v>
      </c>
      <c r="F63" s="228">
        <v>15</v>
      </c>
      <c r="G63" s="228">
        <v>0</v>
      </c>
      <c r="H63" s="228">
        <v>0</v>
      </c>
      <c r="I63" s="228">
        <v>0</v>
      </c>
      <c r="J63" s="228">
        <v>25</v>
      </c>
      <c r="K63" s="343">
        <v>1</v>
      </c>
      <c r="L63" s="122"/>
      <c r="M63" s="200"/>
    </row>
    <row r="64" spans="1:13" ht="31.5">
      <c r="A64" s="6">
        <v>7.4</v>
      </c>
      <c r="B64" s="220" t="s">
        <v>78</v>
      </c>
      <c r="C64" s="17" t="str">
        <f t="shared" si="9"/>
        <v>0912-7LEK-C7.4-P</v>
      </c>
      <c r="D64" s="227" t="s">
        <v>130</v>
      </c>
      <c r="E64" s="228">
        <v>15</v>
      </c>
      <c r="F64" s="228">
        <v>15</v>
      </c>
      <c r="G64" s="228">
        <v>0</v>
      </c>
      <c r="H64" s="228">
        <v>0</v>
      </c>
      <c r="I64" s="228">
        <v>0</v>
      </c>
      <c r="J64" s="228">
        <v>25</v>
      </c>
      <c r="K64" s="343">
        <v>1</v>
      </c>
      <c r="L64" s="122"/>
      <c r="M64" s="200"/>
    </row>
    <row r="65" spans="1:13" ht="31.5">
      <c r="A65" s="6">
        <v>7.5</v>
      </c>
      <c r="B65" s="220" t="s">
        <v>79</v>
      </c>
      <c r="C65" s="17" t="str">
        <f t="shared" si="9"/>
        <v>0912-7LEK-C7.5-M</v>
      </c>
      <c r="D65" s="227">
        <v>10</v>
      </c>
      <c r="E65" s="228">
        <v>45</v>
      </c>
      <c r="F65" s="228">
        <v>10</v>
      </c>
      <c r="G65" s="228">
        <v>15</v>
      </c>
      <c r="H65" s="228">
        <v>20</v>
      </c>
      <c r="I65" s="228">
        <v>0</v>
      </c>
      <c r="J65" s="228">
        <v>55</v>
      </c>
      <c r="K65" s="343">
        <v>2</v>
      </c>
      <c r="L65" s="122"/>
      <c r="M65" s="200"/>
    </row>
    <row r="66" spans="1:13">
      <c r="A66" s="592" t="s">
        <v>9</v>
      </c>
      <c r="B66" s="593"/>
      <c r="C66" s="593"/>
      <c r="D66" s="594"/>
      <c r="E66" s="239">
        <f>SUM(E61:E65)</f>
        <v>105</v>
      </c>
      <c r="F66" s="239">
        <f t="shared" ref="F66:K66" si="10">SUM(F61:F65)</f>
        <v>70</v>
      </c>
      <c r="G66" s="239">
        <f t="shared" si="10"/>
        <v>15</v>
      </c>
      <c r="H66" s="239">
        <f t="shared" si="10"/>
        <v>20</v>
      </c>
      <c r="I66" s="239">
        <f t="shared" si="10"/>
        <v>0</v>
      </c>
      <c r="J66" s="239">
        <f t="shared" si="10"/>
        <v>155</v>
      </c>
      <c r="K66" s="341">
        <f t="shared" si="10"/>
        <v>6</v>
      </c>
      <c r="L66" s="122"/>
      <c r="M66" s="200"/>
    </row>
    <row r="67" spans="1:13">
      <c r="A67" s="585" t="s">
        <v>28</v>
      </c>
      <c r="B67" s="586"/>
      <c r="C67" s="586"/>
      <c r="D67" s="586"/>
      <c r="E67" s="586"/>
      <c r="F67" s="586"/>
      <c r="G67" s="586"/>
      <c r="H67" s="586"/>
      <c r="I67" s="586"/>
      <c r="J67" s="586"/>
      <c r="K67" s="586"/>
      <c r="L67" s="122"/>
      <c r="M67" s="200"/>
    </row>
    <row r="68" spans="1:13" ht="31.5">
      <c r="A68" s="326">
        <v>8.1</v>
      </c>
      <c r="B68" s="243" t="s">
        <v>80</v>
      </c>
      <c r="C68" s="203" t="str">
        <f>"0912-7LEK-C"&amp;A68&amp;"-"&amp;UPPER(LEFT(B68,1))</f>
        <v>0912-7LEK-C8.1-C</v>
      </c>
      <c r="D68" s="241" t="s">
        <v>134</v>
      </c>
      <c r="E68" s="242">
        <v>240</v>
      </c>
      <c r="F68" s="242">
        <v>0</v>
      </c>
      <c r="G68" s="242">
        <v>0</v>
      </c>
      <c r="H68" s="242">
        <v>240</v>
      </c>
      <c r="I68" s="242">
        <v>0</v>
      </c>
      <c r="J68" s="242">
        <v>400</v>
      </c>
      <c r="K68" s="342">
        <v>16</v>
      </c>
      <c r="L68" s="346" t="s">
        <v>297</v>
      </c>
      <c r="M68" s="200"/>
    </row>
    <row r="69" spans="1:13" ht="30">
      <c r="A69" s="6">
        <v>8.1999999999999993</v>
      </c>
      <c r="B69" s="220" t="s">
        <v>51</v>
      </c>
      <c r="C69" s="17" t="str">
        <f t="shared" ref="C69:C75" si="11">"0912-7LEK-C"&amp;A69&amp;"-"&amp;UPPER(LEFT(B69,1))</f>
        <v>0912-7LEK-C8.2-P</v>
      </c>
      <c r="D69" s="227" t="s">
        <v>134</v>
      </c>
      <c r="E69" s="228">
        <v>120</v>
      </c>
      <c r="F69" s="228">
        <v>0</v>
      </c>
      <c r="G69" s="228">
        <v>0</v>
      </c>
      <c r="H69" s="228">
        <v>120</v>
      </c>
      <c r="I69" s="228">
        <v>0</v>
      </c>
      <c r="J69" s="228">
        <v>200</v>
      </c>
      <c r="K69" s="343">
        <v>8</v>
      </c>
      <c r="L69" s="122" t="s">
        <v>288</v>
      </c>
      <c r="M69" s="200"/>
    </row>
    <row r="70" spans="1:13" ht="30">
      <c r="A70" s="6">
        <v>8.3000000000000007</v>
      </c>
      <c r="B70" s="220" t="s">
        <v>81</v>
      </c>
      <c r="C70" s="17" t="str">
        <f t="shared" si="11"/>
        <v>0912-7LEK-C8.3-C</v>
      </c>
      <c r="D70" s="227" t="s">
        <v>250</v>
      </c>
      <c r="E70" s="228">
        <v>120</v>
      </c>
      <c r="F70" s="228">
        <v>0</v>
      </c>
      <c r="G70" s="228">
        <v>0</v>
      </c>
      <c r="H70" s="228">
        <v>120</v>
      </c>
      <c r="I70" s="228">
        <v>0</v>
      </c>
      <c r="J70" s="228">
        <v>200</v>
      </c>
      <c r="K70" s="343">
        <v>8</v>
      </c>
      <c r="L70" s="122" t="s">
        <v>300</v>
      </c>
      <c r="M70" s="200"/>
    </row>
    <row r="71" spans="1:13" ht="31.5">
      <c r="A71" s="6">
        <v>8.4</v>
      </c>
      <c r="B71" s="220" t="s">
        <v>70</v>
      </c>
      <c r="C71" s="17" t="str">
        <f t="shared" si="11"/>
        <v>0912-7LEK-C8.4-G</v>
      </c>
      <c r="D71" s="227" t="s">
        <v>135</v>
      </c>
      <c r="E71" s="228">
        <v>60</v>
      </c>
      <c r="F71" s="228">
        <v>0</v>
      </c>
      <c r="G71" s="228">
        <v>0</v>
      </c>
      <c r="H71" s="228">
        <v>60</v>
      </c>
      <c r="I71" s="228">
        <v>0</v>
      </c>
      <c r="J71" s="228">
        <v>100</v>
      </c>
      <c r="K71" s="343">
        <v>4</v>
      </c>
      <c r="L71" s="122" t="s">
        <v>295</v>
      </c>
      <c r="M71" s="200"/>
    </row>
    <row r="72" spans="1:13" ht="30">
      <c r="A72" s="6">
        <v>8.5</v>
      </c>
      <c r="B72" s="220" t="s">
        <v>54</v>
      </c>
      <c r="C72" s="17" t="str">
        <f t="shared" si="11"/>
        <v>0912-7LEK-C8.5-P</v>
      </c>
      <c r="D72" s="227" t="s">
        <v>135</v>
      </c>
      <c r="E72" s="228">
        <v>60</v>
      </c>
      <c r="F72" s="228">
        <v>0</v>
      </c>
      <c r="G72" s="228">
        <v>0</v>
      </c>
      <c r="H72" s="228">
        <v>60</v>
      </c>
      <c r="I72" s="228">
        <v>0</v>
      </c>
      <c r="J72" s="228">
        <v>100</v>
      </c>
      <c r="K72" s="343">
        <v>4</v>
      </c>
      <c r="L72" s="122" t="s">
        <v>290</v>
      </c>
      <c r="M72" s="200"/>
    </row>
    <row r="73" spans="1:13" ht="31.5">
      <c r="A73" s="6">
        <v>8.6</v>
      </c>
      <c r="B73" s="220" t="s">
        <v>82</v>
      </c>
      <c r="C73" s="17" t="str">
        <f>"0912-7LEK-C"&amp;A73&amp;"-"&amp;UPPER(LEFT(B73,1))&amp;"R"</f>
        <v>0912-7LEK-C8.6-MR</v>
      </c>
      <c r="D73" s="227" t="s">
        <v>135</v>
      </c>
      <c r="E73" s="228">
        <v>60</v>
      </c>
      <c r="F73" s="228">
        <v>0</v>
      </c>
      <c r="G73" s="228">
        <v>0</v>
      </c>
      <c r="H73" s="228">
        <v>60</v>
      </c>
      <c r="I73" s="228">
        <v>0</v>
      </c>
      <c r="J73" s="228">
        <v>100</v>
      </c>
      <c r="K73" s="343">
        <v>4</v>
      </c>
      <c r="L73" s="122" t="s">
        <v>298</v>
      </c>
      <c r="M73" s="200"/>
    </row>
    <row r="74" spans="1:13" ht="31.5">
      <c r="A74" s="6">
        <v>8.6999999999999993</v>
      </c>
      <c r="B74" s="220" t="s">
        <v>56</v>
      </c>
      <c r="C74" s="17" t="str">
        <f t="shared" si="11"/>
        <v>0912-7LEK-C8.7-M</v>
      </c>
      <c r="D74" s="227" t="s">
        <v>135</v>
      </c>
      <c r="E74" s="228">
        <v>60</v>
      </c>
      <c r="F74" s="228">
        <v>0</v>
      </c>
      <c r="G74" s="228">
        <v>0</v>
      </c>
      <c r="H74" s="228">
        <v>60</v>
      </c>
      <c r="I74" s="228">
        <v>0</v>
      </c>
      <c r="J74" s="228">
        <v>100</v>
      </c>
      <c r="K74" s="343">
        <v>4</v>
      </c>
      <c r="L74" s="122" t="s">
        <v>299</v>
      </c>
      <c r="M74" s="200"/>
    </row>
    <row r="75" spans="1:13" ht="63">
      <c r="A75" s="6">
        <v>8.8000000000000007</v>
      </c>
      <c r="B75" s="220" t="s">
        <v>33</v>
      </c>
      <c r="C75" s="17" t="str">
        <f t="shared" si="11"/>
        <v>0912-7LEK-C8.8-S</v>
      </c>
      <c r="D75" s="227" t="s">
        <v>135</v>
      </c>
      <c r="E75" s="228">
        <v>180</v>
      </c>
      <c r="F75" s="228">
        <v>0</v>
      </c>
      <c r="G75" s="228">
        <v>0</v>
      </c>
      <c r="H75" s="228">
        <v>180</v>
      </c>
      <c r="I75" s="228">
        <v>0</v>
      </c>
      <c r="J75" s="228">
        <v>300</v>
      </c>
      <c r="K75" s="343">
        <v>12</v>
      </c>
      <c r="L75" s="122" t="s">
        <v>292</v>
      </c>
      <c r="M75" s="200"/>
    </row>
    <row r="76" spans="1:13">
      <c r="A76" s="592" t="s">
        <v>9</v>
      </c>
      <c r="B76" s="593"/>
      <c r="C76" s="593"/>
      <c r="D76" s="594"/>
      <c r="E76" s="239">
        <f>SUM(E68:E75)</f>
        <v>900</v>
      </c>
      <c r="F76" s="239">
        <f t="shared" ref="F76:K76" si="12">SUM(F68:F75)</f>
        <v>0</v>
      </c>
      <c r="G76" s="239">
        <f t="shared" si="12"/>
        <v>0</v>
      </c>
      <c r="H76" s="239">
        <f t="shared" si="12"/>
        <v>900</v>
      </c>
      <c r="I76" s="239">
        <f t="shared" si="12"/>
        <v>0</v>
      </c>
      <c r="J76" s="239">
        <f t="shared" si="12"/>
        <v>1500</v>
      </c>
      <c r="K76" s="341">
        <f t="shared" si="12"/>
        <v>60</v>
      </c>
      <c r="L76" s="122"/>
      <c r="M76" s="200"/>
    </row>
    <row r="77" spans="1:13">
      <c r="A77" s="585" t="s">
        <v>29</v>
      </c>
      <c r="B77" s="586"/>
      <c r="C77" s="586"/>
      <c r="D77" s="586"/>
      <c r="E77" s="586"/>
      <c r="F77" s="586"/>
      <c r="G77" s="586"/>
      <c r="H77" s="586"/>
      <c r="I77" s="586"/>
      <c r="J77" s="586"/>
      <c r="K77" s="586"/>
      <c r="L77" s="122"/>
      <c r="M77" s="200"/>
    </row>
    <row r="78" spans="1:13" ht="63">
      <c r="A78" s="326">
        <v>9.1</v>
      </c>
      <c r="B78" s="243" t="s">
        <v>83</v>
      </c>
      <c r="C78" s="203" t="str">
        <f t="shared" ref="C78:C85" si="13">"0912-7LEK-C"&amp;A78&amp;"-"&amp;UPPER(LEFT(B78,1))</f>
        <v>0912-7LEK-C9.1-O</v>
      </c>
      <c r="D78" s="241" t="s">
        <v>242</v>
      </c>
      <c r="E78" s="242">
        <v>120</v>
      </c>
      <c r="F78" s="242">
        <v>0</v>
      </c>
      <c r="G78" s="242">
        <v>0</v>
      </c>
      <c r="H78" s="248">
        <v>120</v>
      </c>
      <c r="I78" s="242">
        <v>0</v>
      </c>
      <c r="J78" s="242">
        <v>120</v>
      </c>
      <c r="K78" s="342">
        <v>4</v>
      </c>
      <c r="L78" s="122"/>
      <c r="M78" s="200"/>
    </row>
    <row r="79" spans="1:13" ht="31.5">
      <c r="A79" s="6">
        <v>9.1999999999999993</v>
      </c>
      <c r="B79" s="220" t="s">
        <v>84</v>
      </c>
      <c r="C79" s="17" t="str">
        <f t="shared" si="13"/>
        <v>0912-7LEK-C9.2-L</v>
      </c>
      <c r="D79" s="227" t="s">
        <v>145</v>
      </c>
      <c r="E79" s="228">
        <v>90</v>
      </c>
      <c r="F79" s="228">
        <v>0</v>
      </c>
      <c r="G79" s="228">
        <v>0</v>
      </c>
      <c r="H79" s="234">
        <v>90</v>
      </c>
      <c r="I79" s="228">
        <v>0</v>
      </c>
      <c r="J79" s="228">
        <v>90</v>
      </c>
      <c r="K79" s="343">
        <v>3</v>
      </c>
      <c r="L79" s="122"/>
      <c r="M79" s="200"/>
    </row>
    <row r="80" spans="1:13" ht="31.5">
      <c r="A80" s="6">
        <v>9.3000000000000007</v>
      </c>
      <c r="B80" s="220" t="s">
        <v>85</v>
      </c>
      <c r="C80" s="17" t="str">
        <f t="shared" si="13"/>
        <v>0912-7LEK-C9.3-P</v>
      </c>
      <c r="D80" s="227" t="s">
        <v>145</v>
      </c>
      <c r="E80" s="228">
        <v>30</v>
      </c>
      <c r="F80" s="228">
        <v>0</v>
      </c>
      <c r="G80" s="228">
        <v>0</v>
      </c>
      <c r="H80" s="234">
        <v>30</v>
      </c>
      <c r="I80" s="228">
        <v>0</v>
      </c>
      <c r="J80" s="228">
        <v>30</v>
      </c>
      <c r="K80" s="343">
        <v>1</v>
      </c>
      <c r="L80" s="122"/>
      <c r="M80" s="200"/>
    </row>
    <row r="81" spans="1:13" ht="31.5">
      <c r="A81" s="6">
        <v>9.4</v>
      </c>
      <c r="B81" s="220" t="s">
        <v>80</v>
      </c>
      <c r="C81" s="17" t="str">
        <f t="shared" si="13"/>
        <v>0912-7LEK-C9.4-C</v>
      </c>
      <c r="D81" s="227" t="s">
        <v>148</v>
      </c>
      <c r="E81" s="228">
        <v>120</v>
      </c>
      <c r="F81" s="228">
        <v>0</v>
      </c>
      <c r="G81" s="228">
        <v>0</v>
      </c>
      <c r="H81" s="234">
        <v>120</v>
      </c>
      <c r="I81" s="228">
        <v>0</v>
      </c>
      <c r="J81" s="228">
        <v>120</v>
      </c>
      <c r="K81" s="343">
        <v>4</v>
      </c>
      <c r="L81" s="122"/>
      <c r="M81" s="200"/>
    </row>
    <row r="82" spans="1:13" ht="31.5">
      <c r="A82" s="6">
        <v>9.5</v>
      </c>
      <c r="B82" s="220" t="s">
        <v>86</v>
      </c>
      <c r="C82" s="17" t="str">
        <f t="shared" si="13"/>
        <v>0912-7LEK-C9.5-I</v>
      </c>
      <c r="D82" s="227" t="s">
        <v>146</v>
      </c>
      <c r="E82" s="228">
        <v>60</v>
      </c>
      <c r="F82" s="228">
        <v>0</v>
      </c>
      <c r="G82" s="228">
        <v>0</v>
      </c>
      <c r="H82" s="234">
        <v>60</v>
      </c>
      <c r="I82" s="228">
        <v>0</v>
      </c>
      <c r="J82" s="228">
        <v>60</v>
      </c>
      <c r="K82" s="343">
        <v>2</v>
      </c>
      <c r="L82" s="122"/>
      <c r="M82" s="200"/>
    </row>
    <row r="83" spans="1:13" ht="30">
      <c r="A83" s="6">
        <v>9.6</v>
      </c>
      <c r="B83" s="220" t="s">
        <v>51</v>
      </c>
      <c r="C83" s="17" t="str">
        <f t="shared" si="13"/>
        <v>0912-7LEK-C9.6-P</v>
      </c>
      <c r="D83" s="227" t="s">
        <v>146</v>
      </c>
      <c r="E83" s="228">
        <v>60</v>
      </c>
      <c r="F83" s="228">
        <v>0</v>
      </c>
      <c r="G83" s="228">
        <v>0</v>
      </c>
      <c r="H83" s="234">
        <v>60</v>
      </c>
      <c r="I83" s="228">
        <v>0</v>
      </c>
      <c r="J83" s="228">
        <v>60</v>
      </c>
      <c r="K83" s="343">
        <v>2</v>
      </c>
      <c r="L83" s="122"/>
      <c r="M83" s="200"/>
    </row>
    <row r="84" spans="1:13" ht="30">
      <c r="A84" s="6">
        <v>9.6999999999999993</v>
      </c>
      <c r="B84" s="220" t="s">
        <v>81</v>
      </c>
      <c r="C84" s="17" t="str">
        <f t="shared" si="13"/>
        <v>0912-7LEK-C9.7-C</v>
      </c>
      <c r="D84" s="227" t="s">
        <v>133</v>
      </c>
      <c r="E84" s="228">
        <v>60</v>
      </c>
      <c r="F84" s="228">
        <v>0</v>
      </c>
      <c r="G84" s="228">
        <v>0</v>
      </c>
      <c r="H84" s="234">
        <v>60</v>
      </c>
      <c r="I84" s="228">
        <v>0</v>
      </c>
      <c r="J84" s="228">
        <v>60</v>
      </c>
      <c r="K84" s="343">
        <v>2</v>
      </c>
      <c r="L84" s="122"/>
      <c r="M84" s="200"/>
    </row>
    <row r="85" spans="1:13" ht="31.5">
      <c r="A85" s="6">
        <v>9.8000000000000007</v>
      </c>
      <c r="B85" s="220" t="s">
        <v>70</v>
      </c>
      <c r="C85" s="17" t="str">
        <f t="shared" si="13"/>
        <v>0912-7LEK-C9.8-G</v>
      </c>
      <c r="D85" s="227" t="s">
        <v>133</v>
      </c>
      <c r="E85" s="228">
        <v>60</v>
      </c>
      <c r="F85" s="228">
        <v>0</v>
      </c>
      <c r="G85" s="228">
        <v>0</v>
      </c>
      <c r="H85" s="234">
        <v>60</v>
      </c>
      <c r="I85" s="228">
        <v>0</v>
      </c>
      <c r="J85" s="228">
        <v>60</v>
      </c>
      <c r="K85" s="343">
        <v>2</v>
      </c>
      <c r="L85" s="122"/>
      <c r="M85" s="200"/>
    </row>
    <row r="86" spans="1:13">
      <c r="A86" s="601" t="s">
        <v>9</v>
      </c>
      <c r="B86" s="601"/>
      <c r="C86" s="287"/>
      <c r="D86" s="229"/>
      <c r="E86" s="232">
        <f>SUM(E78:E85)</f>
        <v>600</v>
      </c>
      <c r="F86" s="232">
        <f t="shared" ref="F86:K86" si="14">SUM(F78:F85)</f>
        <v>0</v>
      </c>
      <c r="G86" s="232">
        <f t="shared" si="14"/>
        <v>0</v>
      </c>
      <c r="H86" s="232">
        <f t="shared" si="14"/>
        <v>600</v>
      </c>
      <c r="I86" s="232">
        <f t="shared" si="14"/>
        <v>0</v>
      </c>
      <c r="J86" s="232">
        <f t="shared" si="14"/>
        <v>600</v>
      </c>
      <c r="K86" s="235">
        <f t="shared" si="14"/>
        <v>20</v>
      </c>
      <c r="L86" s="122"/>
      <c r="M86" s="200"/>
    </row>
    <row r="87" spans="1:13">
      <c r="A87" s="585" t="s">
        <v>31</v>
      </c>
      <c r="B87" s="586"/>
      <c r="C87" s="586"/>
      <c r="D87" s="586"/>
      <c r="E87" s="586"/>
      <c r="F87" s="586"/>
      <c r="G87" s="586"/>
      <c r="H87" s="586"/>
      <c r="I87" s="586"/>
      <c r="J87" s="586"/>
      <c r="K87" s="586"/>
      <c r="L87" s="122"/>
      <c r="M87" s="200"/>
    </row>
    <row r="88" spans="1:13" ht="31.5">
      <c r="A88" s="6">
        <v>10.1</v>
      </c>
      <c r="B88" s="220" t="s">
        <v>17</v>
      </c>
      <c r="C88" s="17" t="str">
        <f>"0912-7LEK-A"&amp;A88&amp;"-"&amp;UPPER(LEFT(B88,1))&amp;"A"</f>
        <v>0912-7LEK-A10.1-JA</v>
      </c>
      <c r="D88" s="227" t="s">
        <v>239</v>
      </c>
      <c r="E88" s="228">
        <v>120</v>
      </c>
      <c r="F88" s="228">
        <v>0</v>
      </c>
      <c r="G88" s="228">
        <v>120</v>
      </c>
      <c r="H88" s="228">
        <v>0</v>
      </c>
      <c r="I88" s="228">
        <v>0</v>
      </c>
      <c r="J88" s="228">
        <v>180</v>
      </c>
      <c r="K88" s="343">
        <v>6</v>
      </c>
      <c r="L88" s="122"/>
      <c r="M88" s="200"/>
    </row>
    <row r="89" spans="1:13" ht="30">
      <c r="A89" s="6">
        <v>10.199999999999999</v>
      </c>
      <c r="B89" s="220" t="s">
        <v>205</v>
      </c>
      <c r="C89" s="17" t="str">
        <f>"0912-7LEK-A"&amp;A89&amp;"-"&amp;UPPER(LEFT(B89,1))&amp;"O"</f>
        <v>0912-7LEK-A10.2-JO</v>
      </c>
      <c r="D89" s="227" t="s">
        <v>240</v>
      </c>
      <c r="E89" s="228">
        <v>50</v>
      </c>
      <c r="F89" s="228">
        <v>0</v>
      </c>
      <c r="G89" s="228">
        <v>50</v>
      </c>
      <c r="H89" s="228">
        <v>0</v>
      </c>
      <c r="I89" s="228">
        <v>0</v>
      </c>
      <c r="J89" s="228">
        <v>60</v>
      </c>
      <c r="K89" s="343">
        <v>2</v>
      </c>
      <c r="L89" s="122"/>
      <c r="M89" s="200"/>
    </row>
    <row r="90" spans="1:13" ht="30">
      <c r="A90" s="6">
        <v>10.3</v>
      </c>
      <c r="B90" s="220" t="s">
        <v>19</v>
      </c>
      <c r="C90" s="17" t="str">
        <f>"0912-7LEK-A"&amp;A90&amp;"-"&amp;UPPER(LEFT(B90,1))&amp;"Ł"</f>
        <v>0912-7LEK-A10.3-JŁ</v>
      </c>
      <c r="D90" s="227" t="s">
        <v>241</v>
      </c>
      <c r="E90" s="228">
        <v>30</v>
      </c>
      <c r="F90" s="228">
        <v>0</v>
      </c>
      <c r="G90" s="228">
        <v>30</v>
      </c>
      <c r="H90" s="228">
        <v>0</v>
      </c>
      <c r="I90" s="228">
        <v>0</v>
      </c>
      <c r="J90" s="228">
        <v>30</v>
      </c>
      <c r="K90" s="343">
        <v>1</v>
      </c>
      <c r="L90" s="122"/>
      <c r="M90" s="200"/>
    </row>
    <row r="91" spans="1:13" ht="47.25">
      <c r="A91" s="6">
        <v>10.4</v>
      </c>
      <c r="B91" s="220" t="s">
        <v>87</v>
      </c>
      <c r="C91" s="17" t="str">
        <f>"0912-7LEK-A"&amp;A91&amp;"-"&amp;UPPER(LEFT(B91,1))&amp;"B"</f>
        <v>0912-7LEK-A10.4-PB</v>
      </c>
      <c r="D91" s="227" t="s">
        <v>241</v>
      </c>
      <c r="E91" s="228">
        <v>2</v>
      </c>
      <c r="F91" s="228">
        <v>0</v>
      </c>
      <c r="G91" s="228">
        <v>2</v>
      </c>
      <c r="H91" s="228">
        <v>0</v>
      </c>
      <c r="I91" s="228">
        <v>0</v>
      </c>
      <c r="J91" s="228">
        <v>2</v>
      </c>
      <c r="K91" s="343">
        <v>0</v>
      </c>
      <c r="L91" s="122"/>
      <c r="M91" s="200"/>
    </row>
    <row r="92" spans="1:13" ht="47.25">
      <c r="A92" s="6">
        <v>10.5</v>
      </c>
      <c r="B92" s="220" t="s">
        <v>30</v>
      </c>
      <c r="C92" s="17" t="str">
        <f>"0912-7LEK-A"&amp;A92&amp;"-"&amp;UPPER(LEFT(B92,1))&amp;"HP"</f>
        <v>0912-7LEK-A10.5-BHP</v>
      </c>
      <c r="D92" s="227" t="s">
        <v>242</v>
      </c>
      <c r="E92" s="228">
        <v>5</v>
      </c>
      <c r="F92" s="228">
        <v>5</v>
      </c>
      <c r="G92" s="228">
        <v>0</v>
      </c>
      <c r="H92" s="228">
        <v>0</v>
      </c>
      <c r="I92" s="228">
        <v>0</v>
      </c>
      <c r="J92" s="228">
        <v>5</v>
      </c>
      <c r="K92" s="343">
        <v>0</v>
      </c>
      <c r="L92" s="122"/>
      <c r="M92" s="200"/>
    </row>
    <row r="93" spans="1:13" ht="31.5">
      <c r="A93" s="6">
        <v>10.6</v>
      </c>
      <c r="B93" s="220" t="s">
        <v>109</v>
      </c>
      <c r="C93" s="17" t="str">
        <f>"0912-7LEK-A"&amp;A93&amp;"-"&amp;UPPER(LEFT(B93,1))&amp;"F"</f>
        <v>0912-7LEK-A10.6-WF</v>
      </c>
      <c r="D93" s="227" t="s">
        <v>124</v>
      </c>
      <c r="E93" s="228">
        <v>180</v>
      </c>
      <c r="F93" s="228">
        <v>0</v>
      </c>
      <c r="G93" s="228">
        <v>180</v>
      </c>
      <c r="H93" s="228">
        <v>0</v>
      </c>
      <c r="I93" s="228">
        <v>0</v>
      </c>
      <c r="J93" s="228">
        <v>180</v>
      </c>
      <c r="K93" s="343">
        <v>0</v>
      </c>
      <c r="L93" s="122"/>
      <c r="M93" s="200"/>
    </row>
    <row r="94" spans="1:13">
      <c r="A94" s="608">
        <v>10.7</v>
      </c>
      <c r="B94" s="602" t="s">
        <v>123</v>
      </c>
      <c r="C94" s="603"/>
      <c r="D94" s="227" t="s">
        <v>243</v>
      </c>
      <c r="E94" s="228">
        <v>30</v>
      </c>
      <c r="F94" s="228">
        <v>0</v>
      </c>
      <c r="G94" s="228">
        <v>30</v>
      </c>
      <c r="H94" s="228">
        <v>0</v>
      </c>
      <c r="I94" s="228">
        <v>0</v>
      </c>
      <c r="J94" s="228">
        <v>60</v>
      </c>
      <c r="K94" s="343">
        <v>2</v>
      </c>
      <c r="L94" s="122"/>
      <c r="M94" s="200"/>
    </row>
    <row r="95" spans="1:13">
      <c r="A95" s="609"/>
      <c r="B95" s="604"/>
      <c r="C95" s="605"/>
      <c r="D95" s="227" t="s">
        <v>145</v>
      </c>
      <c r="E95" s="228">
        <v>30</v>
      </c>
      <c r="F95" s="228">
        <v>0</v>
      </c>
      <c r="G95" s="228">
        <v>30</v>
      </c>
      <c r="H95" s="228">
        <v>0</v>
      </c>
      <c r="I95" s="228">
        <v>0</v>
      </c>
      <c r="J95" s="228">
        <v>60</v>
      </c>
      <c r="K95" s="343">
        <v>2</v>
      </c>
      <c r="L95" s="122"/>
      <c r="M95" s="200"/>
    </row>
    <row r="96" spans="1:13">
      <c r="A96" s="601" t="s">
        <v>9</v>
      </c>
      <c r="B96" s="601"/>
      <c r="C96" s="287"/>
      <c r="D96" s="229"/>
      <c r="E96" s="232">
        <f t="shared" ref="E96:J96" si="15">SUM(E88:E93)</f>
        <v>387</v>
      </c>
      <c r="F96" s="232">
        <f t="shared" si="15"/>
        <v>5</v>
      </c>
      <c r="G96" s="232">
        <f t="shared" si="15"/>
        <v>382</v>
      </c>
      <c r="H96" s="232">
        <f t="shared" si="15"/>
        <v>0</v>
      </c>
      <c r="I96" s="232">
        <f t="shared" si="15"/>
        <v>0</v>
      </c>
      <c r="J96" s="232">
        <f t="shared" si="15"/>
        <v>457</v>
      </c>
      <c r="K96" s="235">
        <f>SUM(K88:K95)</f>
        <v>13</v>
      </c>
      <c r="L96" s="122"/>
      <c r="M96" s="200"/>
    </row>
    <row r="97" spans="1:13">
      <c r="A97" s="585" t="s">
        <v>238</v>
      </c>
      <c r="B97" s="586"/>
      <c r="C97" s="586"/>
      <c r="D97" s="586"/>
      <c r="E97" s="586"/>
      <c r="F97" s="586"/>
      <c r="G97" s="586"/>
      <c r="H97" s="586"/>
      <c r="I97" s="586"/>
      <c r="J97" s="586"/>
      <c r="K97" s="586"/>
      <c r="L97" s="122"/>
      <c r="M97" s="200"/>
    </row>
    <row r="98" spans="1:13" ht="47.25">
      <c r="A98" s="277">
        <v>1</v>
      </c>
      <c r="B98" s="226" t="s">
        <v>118</v>
      </c>
      <c r="C98" s="17"/>
      <c r="D98" s="227" t="s">
        <v>241</v>
      </c>
      <c r="E98" s="228">
        <v>15</v>
      </c>
      <c r="F98" s="228">
        <v>15</v>
      </c>
      <c r="G98" s="228">
        <v>0</v>
      </c>
      <c r="H98" s="228">
        <v>0</v>
      </c>
      <c r="I98" s="228">
        <v>0</v>
      </c>
      <c r="J98" s="228">
        <v>25</v>
      </c>
      <c r="K98" s="343">
        <v>1</v>
      </c>
      <c r="L98" s="122"/>
      <c r="M98" s="200"/>
    </row>
    <row r="99" spans="1:13" ht="47.25">
      <c r="A99" s="277">
        <v>2</v>
      </c>
      <c r="B99" s="226" t="s">
        <v>118</v>
      </c>
      <c r="C99" s="17"/>
      <c r="D99" s="227" t="s">
        <v>241</v>
      </c>
      <c r="E99" s="228">
        <v>15</v>
      </c>
      <c r="F99" s="228">
        <v>15</v>
      </c>
      <c r="G99" s="228">
        <v>0</v>
      </c>
      <c r="H99" s="228">
        <v>0</v>
      </c>
      <c r="I99" s="228">
        <v>0</v>
      </c>
      <c r="J99" s="228">
        <v>25</v>
      </c>
      <c r="K99" s="343">
        <v>1</v>
      </c>
      <c r="L99" s="122"/>
      <c r="M99" s="200"/>
    </row>
    <row r="100" spans="1:13" ht="47.25">
      <c r="A100" s="277">
        <v>3</v>
      </c>
      <c r="B100" s="226" t="s">
        <v>118</v>
      </c>
      <c r="C100" s="17"/>
      <c r="D100" s="227" t="s">
        <v>242</v>
      </c>
      <c r="E100" s="228">
        <v>15</v>
      </c>
      <c r="F100" s="228">
        <v>15</v>
      </c>
      <c r="G100" s="228">
        <v>0</v>
      </c>
      <c r="H100" s="228">
        <v>0</v>
      </c>
      <c r="I100" s="228">
        <v>0</v>
      </c>
      <c r="J100" s="228">
        <v>25</v>
      </c>
      <c r="K100" s="343">
        <v>1</v>
      </c>
      <c r="L100" s="122"/>
      <c r="M100" s="200"/>
    </row>
    <row r="101" spans="1:13" ht="47.25">
      <c r="A101" s="277">
        <v>4</v>
      </c>
      <c r="B101" s="226" t="s">
        <v>118</v>
      </c>
      <c r="C101" s="17"/>
      <c r="D101" s="227" t="s">
        <v>242</v>
      </c>
      <c r="E101" s="228">
        <v>15</v>
      </c>
      <c r="F101" s="228">
        <v>15</v>
      </c>
      <c r="G101" s="228">
        <v>0</v>
      </c>
      <c r="H101" s="228">
        <v>0</v>
      </c>
      <c r="I101" s="228">
        <v>0</v>
      </c>
      <c r="J101" s="228">
        <v>25</v>
      </c>
      <c r="K101" s="343">
        <v>1</v>
      </c>
      <c r="L101" s="122"/>
      <c r="M101" s="200"/>
    </row>
    <row r="102" spans="1:13" ht="47.25">
      <c r="A102" s="277">
        <v>5</v>
      </c>
      <c r="B102" s="226" t="s">
        <v>118</v>
      </c>
      <c r="C102" s="17"/>
      <c r="D102" s="227" t="s">
        <v>243</v>
      </c>
      <c r="E102" s="228">
        <v>15</v>
      </c>
      <c r="F102" s="228">
        <v>15</v>
      </c>
      <c r="G102" s="228">
        <v>0</v>
      </c>
      <c r="H102" s="228">
        <v>0</v>
      </c>
      <c r="I102" s="228">
        <v>0</v>
      </c>
      <c r="J102" s="228">
        <v>25</v>
      </c>
      <c r="K102" s="343">
        <v>1</v>
      </c>
      <c r="L102" s="122"/>
      <c r="M102" s="200"/>
    </row>
    <row r="103" spans="1:13" ht="47.25">
      <c r="A103" s="277">
        <v>6</v>
      </c>
      <c r="B103" s="226" t="s">
        <v>118</v>
      </c>
      <c r="C103" s="17"/>
      <c r="D103" s="227" t="s">
        <v>243</v>
      </c>
      <c r="E103" s="228">
        <v>15</v>
      </c>
      <c r="F103" s="228">
        <v>15</v>
      </c>
      <c r="G103" s="228">
        <v>0</v>
      </c>
      <c r="H103" s="228">
        <v>0</v>
      </c>
      <c r="I103" s="228">
        <v>0</v>
      </c>
      <c r="J103" s="228">
        <v>25</v>
      </c>
      <c r="K103" s="343">
        <v>1</v>
      </c>
      <c r="L103" s="122"/>
      <c r="M103" s="200"/>
    </row>
    <row r="104" spans="1:13" ht="47.25">
      <c r="A104" s="277">
        <v>7</v>
      </c>
      <c r="B104" s="226" t="s">
        <v>118</v>
      </c>
      <c r="C104" s="17"/>
      <c r="D104" s="227" t="s">
        <v>243</v>
      </c>
      <c r="E104" s="228">
        <v>15</v>
      </c>
      <c r="F104" s="228">
        <v>15</v>
      </c>
      <c r="G104" s="228">
        <v>0</v>
      </c>
      <c r="H104" s="228">
        <v>0</v>
      </c>
      <c r="I104" s="228">
        <v>0</v>
      </c>
      <c r="J104" s="228">
        <v>25</v>
      </c>
      <c r="K104" s="343">
        <v>1</v>
      </c>
      <c r="L104" s="122"/>
      <c r="M104" s="200"/>
    </row>
    <row r="105" spans="1:13" ht="47.25">
      <c r="A105" s="277">
        <v>8</v>
      </c>
      <c r="B105" s="226" t="s">
        <v>118</v>
      </c>
      <c r="C105" s="17"/>
      <c r="D105" s="227" t="s">
        <v>145</v>
      </c>
      <c r="E105" s="228">
        <v>15</v>
      </c>
      <c r="F105" s="228">
        <v>15</v>
      </c>
      <c r="G105" s="228">
        <v>0</v>
      </c>
      <c r="H105" s="228">
        <v>0</v>
      </c>
      <c r="I105" s="228">
        <v>0</v>
      </c>
      <c r="J105" s="228">
        <v>25</v>
      </c>
      <c r="K105" s="343">
        <v>1</v>
      </c>
      <c r="L105" s="122"/>
      <c r="M105" s="200"/>
    </row>
    <row r="106" spans="1:13" ht="47.25">
      <c r="A106" s="277">
        <v>9</v>
      </c>
      <c r="B106" s="226" t="s">
        <v>118</v>
      </c>
      <c r="C106" s="17"/>
      <c r="D106" s="227" t="s">
        <v>145</v>
      </c>
      <c r="E106" s="228">
        <v>15</v>
      </c>
      <c r="F106" s="228">
        <v>15</v>
      </c>
      <c r="G106" s="228">
        <v>0</v>
      </c>
      <c r="H106" s="228">
        <v>0</v>
      </c>
      <c r="I106" s="228">
        <v>0</v>
      </c>
      <c r="J106" s="228">
        <v>25</v>
      </c>
      <c r="K106" s="343">
        <v>1</v>
      </c>
      <c r="L106" s="122"/>
      <c r="M106" s="200"/>
    </row>
    <row r="107" spans="1:13" ht="47.25">
      <c r="A107" s="277">
        <v>10</v>
      </c>
      <c r="B107" s="226" t="s">
        <v>118</v>
      </c>
      <c r="C107" s="17"/>
      <c r="D107" s="227" t="s">
        <v>145</v>
      </c>
      <c r="E107" s="228">
        <v>15</v>
      </c>
      <c r="F107" s="228">
        <v>15</v>
      </c>
      <c r="G107" s="228">
        <v>0</v>
      </c>
      <c r="H107" s="228">
        <v>0</v>
      </c>
      <c r="I107" s="228">
        <v>0</v>
      </c>
      <c r="J107" s="228">
        <v>25</v>
      </c>
      <c r="K107" s="343">
        <v>1</v>
      </c>
      <c r="L107" s="122"/>
      <c r="M107" s="200"/>
    </row>
    <row r="108" spans="1:13" ht="47.25">
      <c r="A108" s="277">
        <v>11</v>
      </c>
      <c r="B108" s="226" t="s">
        <v>118</v>
      </c>
      <c r="C108" s="17"/>
      <c r="D108" s="227" t="s">
        <v>147</v>
      </c>
      <c r="E108" s="228">
        <v>15</v>
      </c>
      <c r="F108" s="228">
        <v>15</v>
      </c>
      <c r="G108" s="228">
        <v>0</v>
      </c>
      <c r="H108" s="228">
        <v>0</v>
      </c>
      <c r="I108" s="228">
        <v>0</v>
      </c>
      <c r="J108" s="228">
        <v>25</v>
      </c>
      <c r="K108" s="343">
        <v>1</v>
      </c>
      <c r="L108" s="122"/>
      <c r="M108" s="200"/>
    </row>
    <row r="109" spans="1:13" ht="47.25">
      <c r="A109" s="277">
        <v>12</v>
      </c>
      <c r="B109" s="226" t="s">
        <v>118</v>
      </c>
      <c r="C109" s="17"/>
      <c r="D109" s="227" t="s">
        <v>147</v>
      </c>
      <c r="E109" s="228">
        <v>15</v>
      </c>
      <c r="F109" s="228">
        <v>15</v>
      </c>
      <c r="G109" s="228">
        <v>0</v>
      </c>
      <c r="H109" s="228">
        <v>0</v>
      </c>
      <c r="I109" s="228">
        <v>0</v>
      </c>
      <c r="J109" s="228">
        <v>25</v>
      </c>
      <c r="K109" s="343">
        <v>1</v>
      </c>
      <c r="L109" s="122"/>
      <c r="M109" s="200"/>
    </row>
    <row r="110" spans="1:13" ht="47.25">
      <c r="A110" s="277">
        <v>13</v>
      </c>
      <c r="B110" s="226" t="s">
        <v>118</v>
      </c>
      <c r="C110" s="17"/>
      <c r="D110" s="227" t="s">
        <v>147</v>
      </c>
      <c r="E110" s="228">
        <v>15</v>
      </c>
      <c r="F110" s="228">
        <v>15</v>
      </c>
      <c r="G110" s="228">
        <v>0</v>
      </c>
      <c r="H110" s="228">
        <v>0</v>
      </c>
      <c r="I110" s="228">
        <v>0</v>
      </c>
      <c r="J110" s="228">
        <v>25</v>
      </c>
      <c r="K110" s="343">
        <v>1</v>
      </c>
      <c r="L110" s="122"/>
      <c r="M110" s="200"/>
    </row>
    <row r="111" spans="1:13" ht="47.25">
      <c r="A111" s="277">
        <v>14</v>
      </c>
      <c r="B111" s="226" t="s">
        <v>118</v>
      </c>
      <c r="C111" s="17"/>
      <c r="D111" s="227" t="s">
        <v>148</v>
      </c>
      <c r="E111" s="228">
        <v>15</v>
      </c>
      <c r="F111" s="228">
        <v>15</v>
      </c>
      <c r="G111" s="228">
        <v>0</v>
      </c>
      <c r="H111" s="228">
        <v>0</v>
      </c>
      <c r="I111" s="228">
        <v>0</v>
      </c>
      <c r="J111" s="228">
        <v>25</v>
      </c>
      <c r="K111" s="343">
        <v>1</v>
      </c>
      <c r="L111" s="122"/>
      <c r="M111" s="200"/>
    </row>
    <row r="112" spans="1:13" ht="47.25">
      <c r="A112" s="277">
        <v>15</v>
      </c>
      <c r="B112" s="226" t="s">
        <v>118</v>
      </c>
      <c r="C112" s="17"/>
      <c r="D112" s="227" t="s">
        <v>148</v>
      </c>
      <c r="E112" s="228">
        <v>15</v>
      </c>
      <c r="F112" s="228">
        <v>15</v>
      </c>
      <c r="G112" s="228">
        <v>0</v>
      </c>
      <c r="H112" s="228">
        <v>0</v>
      </c>
      <c r="I112" s="228">
        <v>0</v>
      </c>
      <c r="J112" s="228">
        <v>25</v>
      </c>
      <c r="K112" s="343">
        <v>1</v>
      </c>
      <c r="L112" s="122"/>
      <c r="M112" s="200"/>
    </row>
    <row r="113" spans="1:13" ht="47.25">
      <c r="A113" s="277">
        <v>16</v>
      </c>
      <c r="B113" s="226" t="s">
        <v>118</v>
      </c>
      <c r="C113" s="17"/>
      <c r="D113" s="227" t="s">
        <v>149</v>
      </c>
      <c r="E113" s="228">
        <v>15</v>
      </c>
      <c r="F113" s="228">
        <v>15</v>
      </c>
      <c r="G113" s="228">
        <v>0</v>
      </c>
      <c r="H113" s="228">
        <v>0</v>
      </c>
      <c r="I113" s="228">
        <v>0</v>
      </c>
      <c r="J113" s="228">
        <v>25</v>
      </c>
      <c r="K113" s="343">
        <v>1</v>
      </c>
      <c r="L113" s="122"/>
      <c r="M113" s="200"/>
    </row>
    <row r="114" spans="1:13" ht="47.25">
      <c r="A114" s="277">
        <v>17</v>
      </c>
      <c r="B114" s="226" t="s">
        <v>118</v>
      </c>
      <c r="C114" s="17"/>
      <c r="D114" s="227" t="s">
        <v>149</v>
      </c>
      <c r="E114" s="228">
        <v>15</v>
      </c>
      <c r="F114" s="228">
        <v>15</v>
      </c>
      <c r="G114" s="228">
        <v>0</v>
      </c>
      <c r="H114" s="228">
        <v>0</v>
      </c>
      <c r="I114" s="228">
        <v>0</v>
      </c>
      <c r="J114" s="228">
        <v>25</v>
      </c>
      <c r="K114" s="343">
        <v>1</v>
      </c>
      <c r="L114" s="122"/>
      <c r="M114" s="200"/>
    </row>
    <row r="115" spans="1:13" ht="47.25">
      <c r="A115" s="277">
        <v>18</v>
      </c>
      <c r="B115" s="226" t="s">
        <v>118</v>
      </c>
      <c r="C115" s="17"/>
      <c r="D115" s="227" t="s">
        <v>146</v>
      </c>
      <c r="E115" s="228">
        <v>15</v>
      </c>
      <c r="F115" s="228">
        <v>15</v>
      </c>
      <c r="G115" s="228">
        <v>0</v>
      </c>
      <c r="H115" s="228">
        <v>0</v>
      </c>
      <c r="I115" s="228">
        <v>0</v>
      </c>
      <c r="J115" s="228">
        <v>25</v>
      </c>
      <c r="K115" s="343">
        <v>1</v>
      </c>
      <c r="L115" s="122"/>
      <c r="M115" s="200"/>
    </row>
    <row r="116" spans="1:13" ht="47.25">
      <c r="A116" s="277">
        <v>19</v>
      </c>
      <c r="B116" s="226" t="s">
        <v>118</v>
      </c>
      <c r="C116" s="17"/>
      <c r="D116" s="227" t="s">
        <v>146</v>
      </c>
      <c r="E116" s="228">
        <v>15</v>
      </c>
      <c r="F116" s="228">
        <v>15</v>
      </c>
      <c r="G116" s="228">
        <v>0</v>
      </c>
      <c r="H116" s="228">
        <v>0</v>
      </c>
      <c r="I116" s="228">
        <v>0</v>
      </c>
      <c r="J116" s="228">
        <v>25</v>
      </c>
      <c r="K116" s="343">
        <v>1</v>
      </c>
      <c r="L116" s="122"/>
      <c r="M116" s="200"/>
    </row>
    <row r="117" spans="1:13" ht="47.25">
      <c r="A117" s="277">
        <v>20</v>
      </c>
      <c r="B117" s="226" t="s">
        <v>118</v>
      </c>
      <c r="C117" s="17"/>
      <c r="D117" s="227" t="s">
        <v>146</v>
      </c>
      <c r="E117" s="228">
        <v>15</v>
      </c>
      <c r="F117" s="228">
        <v>15</v>
      </c>
      <c r="G117" s="228">
        <v>0</v>
      </c>
      <c r="H117" s="228">
        <v>0</v>
      </c>
      <c r="I117" s="228">
        <v>0</v>
      </c>
      <c r="J117" s="228">
        <v>25</v>
      </c>
      <c r="K117" s="343">
        <v>1</v>
      </c>
      <c r="L117" s="122"/>
      <c r="M117" s="200"/>
    </row>
    <row r="118" spans="1:13" ht="47.25">
      <c r="A118" s="277">
        <v>21</v>
      </c>
      <c r="B118" s="226" t="s">
        <v>118</v>
      </c>
      <c r="C118" s="17"/>
      <c r="D118" s="227" t="s">
        <v>146</v>
      </c>
      <c r="E118" s="228">
        <v>15</v>
      </c>
      <c r="F118" s="228">
        <v>15</v>
      </c>
      <c r="G118" s="228">
        <v>0</v>
      </c>
      <c r="H118" s="228">
        <v>0</v>
      </c>
      <c r="I118" s="228">
        <v>0</v>
      </c>
      <c r="J118" s="228">
        <v>25</v>
      </c>
      <c r="K118" s="343">
        <v>1</v>
      </c>
      <c r="L118" s="122"/>
      <c r="M118" s="200"/>
    </row>
    <row r="119" spans="1:13" ht="47.25">
      <c r="A119" s="277">
        <v>22</v>
      </c>
      <c r="B119" s="226" t="s">
        <v>118</v>
      </c>
      <c r="C119" s="17"/>
      <c r="D119" s="227" t="s">
        <v>130</v>
      </c>
      <c r="E119" s="228">
        <v>35</v>
      </c>
      <c r="F119" s="228">
        <v>15</v>
      </c>
      <c r="G119" s="228">
        <v>20</v>
      </c>
      <c r="H119" s="228">
        <v>0</v>
      </c>
      <c r="I119" s="228">
        <v>0</v>
      </c>
      <c r="J119" s="228">
        <v>50</v>
      </c>
      <c r="K119" s="343">
        <v>2</v>
      </c>
      <c r="L119" s="122"/>
      <c r="M119" s="200"/>
    </row>
    <row r="120" spans="1:13" ht="47.25">
      <c r="A120" s="277">
        <v>23</v>
      </c>
      <c r="B120" s="226" t="s">
        <v>118</v>
      </c>
      <c r="C120" s="17"/>
      <c r="D120" s="227" t="s">
        <v>130</v>
      </c>
      <c r="E120" s="228">
        <v>35</v>
      </c>
      <c r="F120" s="228">
        <v>15</v>
      </c>
      <c r="G120" s="228">
        <v>20</v>
      </c>
      <c r="H120" s="228">
        <v>0</v>
      </c>
      <c r="I120" s="228">
        <v>0</v>
      </c>
      <c r="J120" s="228">
        <v>50</v>
      </c>
      <c r="K120" s="343">
        <v>2</v>
      </c>
      <c r="L120" s="122"/>
      <c r="M120" s="200"/>
    </row>
    <row r="121" spans="1:13" ht="47.25">
      <c r="A121" s="277">
        <v>24</v>
      </c>
      <c r="B121" s="226" t="s">
        <v>118</v>
      </c>
      <c r="C121" s="17"/>
      <c r="D121" s="227" t="s">
        <v>130</v>
      </c>
      <c r="E121" s="228">
        <v>35</v>
      </c>
      <c r="F121" s="228">
        <v>15</v>
      </c>
      <c r="G121" s="228">
        <v>20</v>
      </c>
      <c r="H121" s="228">
        <v>0</v>
      </c>
      <c r="I121" s="228">
        <v>0</v>
      </c>
      <c r="J121" s="228">
        <v>50</v>
      </c>
      <c r="K121" s="343">
        <v>2</v>
      </c>
      <c r="L121" s="122"/>
      <c r="M121" s="200"/>
    </row>
    <row r="122" spans="1:13" ht="47.25">
      <c r="A122" s="277">
        <v>25</v>
      </c>
      <c r="B122" s="226" t="s">
        <v>118</v>
      </c>
      <c r="C122" s="17"/>
      <c r="D122" s="227" t="s">
        <v>130</v>
      </c>
      <c r="E122" s="228">
        <v>35</v>
      </c>
      <c r="F122" s="228">
        <v>15</v>
      </c>
      <c r="G122" s="228">
        <v>20</v>
      </c>
      <c r="H122" s="228">
        <v>0</v>
      </c>
      <c r="I122" s="228">
        <v>0</v>
      </c>
      <c r="J122" s="228">
        <v>50</v>
      </c>
      <c r="K122" s="343">
        <v>2</v>
      </c>
      <c r="L122" s="122"/>
      <c r="M122" s="200"/>
    </row>
    <row r="123" spans="1:13" ht="47.25">
      <c r="A123" s="277">
        <v>26</v>
      </c>
      <c r="B123" s="226" t="s">
        <v>118</v>
      </c>
      <c r="C123" s="17"/>
      <c r="D123" s="227" t="s">
        <v>130</v>
      </c>
      <c r="E123" s="228">
        <v>15</v>
      </c>
      <c r="F123" s="228">
        <v>15</v>
      </c>
      <c r="G123" s="228">
        <v>0</v>
      </c>
      <c r="H123" s="228">
        <v>0</v>
      </c>
      <c r="I123" s="228">
        <v>0</v>
      </c>
      <c r="J123" s="228">
        <v>25</v>
      </c>
      <c r="K123" s="343">
        <v>1</v>
      </c>
      <c r="L123" s="122"/>
      <c r="M123" s="200"/>
    </row>
    <row r="124" spans="1:13" ht="47.25">
      <c r="A124" s="277">
        <v>27</v>
      </c>
      <c r="B124" s="226" t="s">
        <v>118</v>
      </c>
      <c r="C124" s="17"/>
      <c r="D124" s="227" t="s">
        <v>130</v>
      </c>
      <c r="E124" s="228">
        <v>15</v>
      </c>
      <c r="F124" s="228">
        <v>15</v>
      </c>
      <c r="G124" s="228">
        <v>0</v>
      </c>
      <c r="H124" s="228">
        <v>0</v>
      </c>
      <c r="I124" s="228">
        <v>0</v>
      </c>
      <c r="J124" s="228">
        <v>25</v>
      </c>
      <c r="K124" s="343">
        <v>1</v>
      </c>
      <c r="L124" s="122"/>
      <c r="M124" s="200"/>
    </row>
    <row r="125" spans="1:13" ht="47.25">
      <c r="A125" s="277">
        <v>28</v>
      </c>
      <c r="B125" s="226" t="s">
        <v>118</v>
      </c>
      <c r="C125" s="17"/>
      <c r="D125" s="227" t="s">
        <v>133</v>
      </c>
      <c r="E125" s="228">
        <v>15</v>
      </c>
      <c r="F125" s="228">
        <v>15</v>
      </c>
      <c r="G125" s="228">
        <v>0</v>
      </c>
      <c r="H125" s="228">
        <v>0</v>
      </c>
      <c r="I125" s="228">
        <v>0</v>
      </c>
      <c r="J125" s="228">
        <v>25</v>
      </c>
      <c r="K125" s="343">
        <v>1</v>
      </c>
      <c r="L125" s="122"/>
      <c r="M125" s="200"/>
    </row>
    <row r="126" spans="1:13" ht="47.25">
      <c r="A126" s="277">
        <v>29</v>
      </c>
      <c r="B126" s="226" t="s">
        <v>118</v>
      </c>
      <c r="C126" s="17"/>
      <c r="D126" s="227" t="s">
        <v>133</v>
      </c>
      <c r="E126" s="228">
        <v>15</v>
      </c>
      <c r="F126" s="228">
        <v>15</v>
      </c>
      <c r="G126" s="228">
        <v>0</v>
      </c>
      <c r="H126" s="228">
        <v>0</v>
      </c>
      <c r="I126" s="228">
        <v>0</v>
      </c>
      <c r="J126" s="228">
        <v>25</v>
      </c>
      <c r="K126" s="343">
        <v>1</v>
      </c>
      <c r="L126" s="122"/>
      <c r="M126" s="200"/>
    </row>
    <row r="127" spans="1:13" ht="15.75">
      <c r="A127" s="277">
        <v>30</v>
      </c>
      <c r="B127" s="606" t="s">
        <v>268</v>
      </c>
      <c r="C127" s="607"/>
      <c r="D127" s="227" t="s">
        <v>253</v>
      </c>
      <c r="E127" s="228">
        <v>135</v>
      </c>
      <c r="F127" s="228">
        <v>0</v>
      </c>
      <c r="G127" s="228">
        <v>135</v>
      </c>
      <c r="H127" s="228">
        <v>0</v>
      </c>
      <c r="I127" s="228">
        <v>0</v>
      </c>
      <c r="J127" s="228">
        <v>225</v>
      </c>
      <c r="K127" s="343">
        <v>9</v>
      </c>
      <c r="L127" s="122"/>
      <c r="M127" s="200"/>
    </row>
    <row r="128" spans="1:13">
      <c r="A128" s="595" t="s">
        <v>9</v>
      </c>
      <c r="B128" s="596"/>
      <c r="C128" s="596"/>
      <c r="D128" s="597"/>
      <c r="E128" s="232">
        <f>SUM(E98:E127)</f>
        <v>650</v>
      </c>
      <c r="F128" s="232">
        <f t="shared" ref="F128:J128" si="16">SUM(F98:F127)</f>
        <v>435</v>
      </c>
      <c r="G128" s="232">
        <f t="shared" si="16"/>
        <v>215</v>
      </c>
      <c r="H128" s="232">
        <f t="shared" si="16"/>
        <v>0</v>
      </c>
      <c r="I128" s="232">
        <f t="shared" si="16"/>
        <v>0</v>
      </c>
      <c r="J128" s="232">
        <f t="shared" si="16"/>
        <v>1050</v>
      </c>
      <c r="K128" s="235">
        <f>SUM(K98:K127)</f>
        <v>42</v>
      </c>
      <c r="L128" s="122"/>
      <c r="M128" s="200"/>
    </row>
    <row r="129" spans="1:13" ht="15.75">
      <c r="A129" s="589" t="s">
        <v>237</v>
      </c>
      <c r="B129" s="590"/>
      <c r="C129" s="590"/>
      <c r="D129" s="591"/>
      <c r="E129" s="303">
        <f t="shared" ref="E129:K129" si="17">SUM(E5,E15,E23,E30,E44,E59,E66,E76,E86,E96,E128,)</f>
        <v>6042</v>
      </c>
      <c r="F129" s="303">
        <f t="shared" si="17"/>
        <v>1660</v>
      </c>
      <c r="G129" s="303">
        <f t="shared" si="17"/>
        <v>1817</v>
      </c>
      <c r="H129" s="303">
        <f t="shared" si="17"/>
        <v>2335</v>
      </c>
      <c r="I129" s="303">
        <f t="shared" si="17"/>
        <v>230</v>
      </c>
      <c r="J129" s="303">
        <f t="shared" si="17"/>
        <v>9397</v>
      </c>
      <c r="K129" s="345">
        <f t="shared" si="17"/>
        <v>368</v>
      </c>
      <c r="L129" s="122"/>
      <c r="M129" s="200"/>
    </row>
  </sheetData>
  <mergeCells count="25">
    <mergeCell ref="A129:D129"/>
    <mergeCell ref="A94:A95"/>
    <mergeCell ref="B94:C95"/>
    <mergeCell ref="A96:B96"/>
    <mergeCell ref="A97:K97"/>
    <mergeCell ref="B127:C127"/>
    <mergeCell ref="A128:D128"/>
    <mergeCell ref="A87:K87"/>
    <mergeCell ref="A30:D30"/>
    <mergeCell ref="A31:K31"/>
    <mergeCell ref="A44:D44"/>
    <mergeCell ref="A45:K45"/>
    <mergeCell ref="A59:D59"/>
    <mergeCell ref="A60:K60"/>
    <mergeCell ref="A66:D66"/>
    <mergeCell ref="A67:K67"/>
    <mergeCell ref="A76:D76"/>
    <mergeCell ref="A77:K77"/>
    <mergeCell ref="A86:B86"/>
    <mergeCell ref="A24:K24"/>
    <mergeCell ref="A5:D5"/>
    <mergeCell ref="A6:K6"/>
    <mergeCell ref="A15:D15"/>
    <mergeCell ref="A16:K16"/>
    <mergeCell ref="A23:D23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70"/>
  <sheetViews>
    <sheetView zoomScale="90" zoomScaleNormal="90" workbookViewId="0">
      <pane ySplit="6" topLeftCell="A34" activePane="bottomLeft" state="frozen"/>
      <selection pane="bottomLeft" activeCell="C43" sqref="C43"/>
    </sheetView>
  </sheetViews>
  <sheetFormatPr defaultRowHeight="15"/>
  <cols>
    <col min="1" max="1" width="4" style="280" customWidth="1"/>
    <col min="2" max="2" width="3" style="251" bestFit="1" customWidth="1"/>
    <col min="3" max="3" width="58.42578125" style="244" customWidth="1"/>
    <col min="4" max="4" width="21.7109375" style="244" bestFit="1" customWidth="1"/>
    <col min="5" max="5" width="6.140625" style="251" customWidth="1"/>
    <col min="6" max="6" width="6.140625" style="271" customWidth="1"/>
    <col min="7" max="7" width="6.140625" style="251" customWidth="1"/>
    <col min="8" max="25" width="5.140625" style="251" customWidth="1"/>
    <col min="26" max="26" width="7" style="251" customWidth="1"/>
    <col min="27" max="30" width="6.140625" style="251" customWidth="1"/>
    <col min="31" max="31" width="9.140625" style="251" customWidth="1"/>
    <col min="32" max="32" width="7.140625" style="251" customWidth="1"/>
    <col min="33" max="16384" width="9.140625" style="244"/>
  </cols>
  <sheetData>
    <row r="1" spans="1:70" ht="76.5" customHeight="1" thickBot="1">
      <c r="A1" s="284"/>
      <c r="B1" s="315"/>
      <c r="C1" s="626" t="s">
        <v>278</v>
      </c>
      <c r="D1" s="626"/>
      <c r="E1" s="626"/>
      <c r="F1" s="626"/>
      <c r="G1" s="626"/>
      <c r="H1" s="626"/>
      <c r="I1" s="626"/>
      <c r="J1" s="626"/>
      <c r="K1" s="626"/>
      <c r="L1" s="626"/>
      <c r="M1" s="626"/>
      <c r="N1" s="626"/>
      <c r="O1" s="626"/>
      <c r="P1" s="626"/>
      <c r="Q1" s="626"/>
      <c r="R1" s="626"/>
      <c r="S1" s="626"/>
      <c r="T1" s="626"/>
      <c r="U1" s="626"/>
      <c r="V1" s="626"/>
      <c r="W1" s="626"/>
      <c r="X1" s="626"/>
      <c r="Y1" s="626"/>
      <c r="Z1" s="626"/>
      <c r="AA1" s="626"/>
      <c r="AB1" s="626"/>
      <c r="AC1" s="626"/>
      <c r="AD1" s="626"/>
      <c r="AE1" s="626"/>
      <c r="AF1" s="626"/>
      <c r="AG1" s="256"/>
      <c r="AH1" s="256"/>
      <c r="AI1" s="256"/>
      <c r="AJ1" s="256"/>
      <c r="AK1" s="256"/>
      <c r="AL1" s="256"/>
      <c r="AM1" s="256"/>
      <c r="AN1" s="256"/>
      <c r="AO1" s="256"/>
      <c r="AP1" s="256"/>
      <c r="AQ1" s="256"/>
      <c r="AR1" s="256"/>
      <c r="AS1" s="256"/>
      <c r="AT1" s="256"/>
      <c r="AU1" s="256"/>
      <c r="AV1" s="256"/>
      <c r="AW1" s="256"/>
      <c r="AX1" s="256"/>
      <c r="AY1" s="256"/>
      <c r="AZ1" s="256"/>
      <c r="BA1" s="256"/>
      <c r="BB1" s="256"/>
      <c r="BC1" s="256"/>
      <c r="BD1" s="256"/>
      <c r="BE1" s="256"/>
      <c r="BF1" s="256"/>
      <c r="BG1" s="256"/>
      <c r="BH1" s="256"/>
      <c r="BI1" s="256"/>
      <c r="BJ1" s="256"/>
      <c r="BK1" s="256"/>
      <c r="BL1" s="256"/>
      <c r="BM1" s="256"/>
      <c r="BN1" s="256"/>
      <c r="BO1" s="256"/>
      <c r="BP1" s="256"/>
      <c r="BQ1" s="256"/>
      <c r="BR1" s="256"/>
    </row>
    <row r="2" spans="1:70" ht="18.75">
      <c r="B2" s="627"/>
      <c r="C2" s="628"/>
      <c r="D2" s="628"/>
      <c r="E2" s="628"/>
      <c r="F2" s="628"/>
      <c r="G2" s="629"/>
      <c r="H2" s="534" t="s">
        <v>103</v>
      </c>
      <c r="I2" s="534"/>
      <c r="J2" s="534"/>
      <c r="K2" s="534"/>
      <c r="L2" s="534"/>
      <c r="M2" s="534"/>
      <c r="N2" s="534"/>
      <c r="O2" s="534"/>
      <c r="P2" s="534"/>
      <c r="Q2" s="534"/>
      <c r="R2" s="534"/>
      <c r="S2" s="534"/>
      <c r="T2" s="534"/>
      <c r="U2" s="534"/>
      <c r="V2" s="534"/>
      <c r="W2" s="534"/>
      <c r="X2" s="534"/>
      <c r="Y2" s="534"/>
      <c r="Z2" s="534"/>
      <c r="AA2" s="534"/>
      <c r="AB2" s="534"/>
      <c r="AC2" s="534"/>
      <c r="AD2" s="534"/>
      <c r="AE2" s="534"/>
      <c r="AF2" s="535"/>
      <c r="AG2" s="256"/>
      <c r="AH2" s="256"/>
      <c r="AI2" s="256"/>
      <c r="AJ2" s="256"/>
      <c r="AK2" s="256"/>
      <c r="AL2" s="256"/>
      <c r="AM2" s="256"/>
      <c r="AN2" s="256"/>
      <c r="AO2" s="256"/>
      <c r="AP2" s="256"/>
      <c r="AQ2" s="256"/>
      <c r="AR2" s="256"/>
      <c r="AS2" s="256"/>
      <c r="AT2" s="256"/>
      <c r="AU2" s="256"/>
      <c r="AV2" s="256"/>
      <c r="AW2" s="256"/>
      <c r="AX2" s="256"/>
      <c r="AY2" s="256"/>
      <c r="AZ2" s="256"/>
      <c r="BA2" s="256"/>
      <c r="BB2" s="256"/>
      <c r="BC2" s="256"/>
      <c r="BD2" s="256"/>
      <c r="BE2" s="256"/>
      <c r="BF2" s="256"/>
      <c r="BG2" s="256"/>
      <c r="BH2" s="256"/>
      <c r="BI2" s="256"/>
      <c r="BJ2" s="256"/>
      <c r="BK2" s="256"/>
      <c r="BL2" s="256"/>
      <c r="BM2" s="256"/>
      <c r="BN2" s="256"/>
      <c r="BO2" s="256"/>
      <c r="BP2" s="256"/>
      <c r="BQ2" s="256"/>
      <c r="BR2" s="256"/>
    </row>
    <row r="3" spans="1:70" ht="13.5" customHeight="1">
      <c r="B3" s="483" t="s">
        <v>0</v>
      </c>
      <c r="C3" s="481" t="s">
        <v>4</v>
      </c>
      <c r="D3" s="481" t="s">
        <v>1</v>
      </c>
      <c r="E3" s="538" t="s">
        <v>8</v>
      </c>
      <c r="F3" s="538"/>
      <c r="G3" s="538"/>
      <c r="H3" s="619" t="s">
        <v>89</v>
      </c>
      <c r="I3" s="619"/>
      <c r="J3" s="619" t="s">
        <v>88</v>
      </c>
      <c r="K3" s="619"/>
      <c r="L3" s="619" t="s">
        <v>94</v>
      </c>
      <c r="M3" s="619"/>
      <c r="N3" s="619" t="s">
        <v>90</v>
      </c>
      <c r="O3" s="619"/>
      <c r="P3" s="620" t="s">
        <v>7</v>
      </c>
      <c r="Q3" s="621" t="s">
        <v>89</v>
      </c>
      <c r="R3" s="621"/>
      <c r="S3" s="621" t="s">
        <v>88</v>
      </c>
      <c r="T3" s="621"/>
      <c r="U3" s="621" t="s">
        <v>94</v>
      </c>
      <c r="V3" s="621"/>
      <c r="W3" s="621" t="s">
        <v>90</v>
      </c>
      <c r="X3" s="621"/>
      <c r="Y3" s="620" t="s">
        <v>7</v>
      </c>
      <c r="Z3" s="625" t="s">
        <v>5</v>
      </c>
      <c r="AA3" s="625" t="s">
        <v>89</v>
      </c>
      <c r="AB3" s="625" t="s">
        <v>88</v>
      </c>
      <c r="AC3" s="625" t="s">
        <v>94</v>
      </c>
      <c r="AD3" s="625" t="s">
        <v>90</v>
      </c>
      <c r="AE3" s="625" t="s">
        <v>14</v>
      </c>
      <c r="AF3" s="625" t="s">
        <v>6</v>
      </c>
      <c r="AG3" s="256"/>
      <c r="AH3" s="256"/>
      <c r="AI3" s="256"/>
      <c r="AJ3" s="256"/>
      <c r="AK3" s="256"/>
      <c r="AL3" s="256"/>
      <c r="AM3" s="256"/>
      <c r="AN3" s="256"/>
      <c r="AO3" s="256"/>
      <c r="AP3" s="256"/>
      <c r="AQ3" s="256"/>
      <c r="AR3" s="256"/>
      <c r="AS3" s="256"/>
      <c r="AT3" s="256"/>
      <c r="AU3" s="256"/>
      <c r="AV3" s="256"/>
      <c r="AW3" s="256"/>
      <c r="AX3" s="256"/>
      <c r="AY3" s="256"/>
      <c r="AZ3" s="256"/>
      <c r="BA3" s="256"/>
      <c r="BB3" s="256"/>
      <c r="BC3" s="256"/>
      <c r="BD3" s="256"/>
      <c r="BE3" s="256"/>
      <c r="BF3" s="256"/>
      <c r="BG3" s="256"/>
      <c r="BH3" s="256"/>
      <c r="BI3" s="256"/>
      <c r="BJ3" s="256"/>
      <c r="BK3" s="256"/>
      <c r="BL3" s="256"/>
      <c r="BM3" s="256"/>
      <c r="BN3" s="256"/>
      <c r="BO3" s="256"/>
      <c r="BP3" s="256"/>
      <c r="BQ3" s="256"/>
      <c r="BR3" s="256"/>
    </row>
    <row r="4" spans="1:70" ht="13.5" customHeight="1">
      <c r="B4" s="483"/>
      <c r="C4" s="481"/>
      <c r="D4" s="481"/>
      <c r="E4" s="538"/>
      <c r="F4" s="538"/>
      <c r="G4" s="538"/>
      <c r="H4" s="619"/>
      <c r="I4" s="619"/>
      <c r="J4" s="619"/>
      <c r="K4" s="619"/>
      <c r="L4" s="619"/>
      <c r="M4" s="619"/>
      <c r="N4" s="619"/>
      <c r="O4" s="619"/>
      <c r="P4" s="620"/>
      <c r="Q4" s="621"/>
      <c r="R4" s="621"/>
      <c r="S4" s="621"/>
      <c r="T4" s="621"/>
      <c r="U4" s="621"/>
      <c r="V4" s="621"/>
      <c r="W4" s="621"/>
      <c r="X4" s="621"/>
      <c r="Y4" s="620"/>
      <c r="Z4" s="625"/>
      <c r="AA4" s="625"/>
      <c r="AB4" s="625"/>
      <c r="AC4" s="625"/>
      <c r="AD4" s="625"/>
      <c r="AE4" s="625"/>
      <c r="AF4" s="625"/>
      <c r="AG4" s="256"/>
      <c r="AH4" s="256"/>
      <c r="AI4" s="256"/>
      <c r="AJ4" s="256"/>
      <c r="AK4" s="256"/>
      <c r="AL4" s="256"/>
      <c r="AM4" s="256"/>
      <c r="AN4" s="256"/>
      <c r="AO4" s="256"/>
      <c r="AP4" s="256"/>
      <c r="AQ4" s="256"/>
      <c r="AR4" s="256"/>
      <c r="AS4" s="256"/>
      <c r="AT4" s="256"/>
      <c r="AU4" s="256"/>
      <c r="AV4" s="256"/>
      <c r="AW4" s="256"/>
      <c r="AX4" s="256"/>
      <c r="AY4" s="256"/>
      <c r="AZ4" s="256"/>
      <c r="BA4" s="256"/>
      <c r="BB4" s="256"/>
      <c r="BC4" s="256"/>
      <c r="BD4" s="256"/>
      <c r="BE4" s="256"/>
      <c r="BF4" s="256"/>
      <c r="BG4" s="256"/>
      <c r="BH4" s="256"/>
      <c r="BI4" s="256"/>
      <c r="BJ4" s="256"/>
      <c r="BK4" s="256"/>
      <c r="BL4" s="256"/>
      <c r="BM4" s="256"/>
      <c r="BN4" s="256"/>
      <c r="BO4" s="256"/>
      <c r="BP4" s="256"/>
      <c r="BQ4" s="256"/>
      <c r="BR4" s="256"/>
    </row>
    <row r="5" spans="1:70" ht="18.75" customHeight="1">
      <c r="B5" s="483"/>
      <c r="C5" s="481"/>
      <c r="D5" s="481"/>
      <c r="E5" s="481" t="s">
        <v>2</v>
      </c>
      <c r="F5" s="481" t="s">
        <v>13</v>
      </c>
      <c r="G5" s="481" t="s">
        <v>12</v>
      </c>
      <c r="H5" s="619"/>
      <c r="I5" s="619"/>
      <c r="J5" s="619"/>
      <c r="K5" s="619"/>
      <c r="L5" s="619"/>
      <c r="M5" s="619"/>
      <c r="N5" s="619"/>
      <c r="O5" s="619"/>
      <c r="P5" s="620"/>
      <c r="Q5" s="621"/>
      <c r="R5" s="621"/>
      <c r="S5" s="621"/>
      <c r="T5" s="621"/>
      <c r="U5" s="621"/>
      <c r="V5" s="621"/>
      <c r="W5" s="621"/>
      <c r="X5" s="621"/>
      <c r="Y5" s="620"/>
      <c r="Z5" s="625"/>
      <c r="AA5" s="625"/>
      <c r="AB5" s="625"/>
      <c r="AC5" s="625"/>
      <c r="AD5" s="625"/>
      <c r="AE5" s="625"/>
      <c r="AF5" s="625"/>
      <c r="AG5" s="256"/>
      <c r="AH5" s="256"/>
      <c r="AI5" s="256"/>
      <c r="AJ5" s="256"/>
      <c r="AK5" s="256"/>
      <c r="AL5" s="256"/>
      <c r="AM5" s="256"/>
      <c r="AN5" s="256"/>
      <c r="AO5" s="256"/>
      <c r="AP5" s="256"/>
      <c r="AQ5" s="256"/>
      <c r="AR5" s="256"/>
      <c r="AS5" s="256"/>
      <c r="AT5" s="256"/>
      <c r="AU5" s="256"/>
      <c r="AV5" s="256"/>
      <c r="AW5" s="256"/>
      <c r="AX5" s="256"/>
      <c r="AY5" s="256"/>
      <c r="AZ5" s="256"/>
      <c r="BA5" s="256"/>
      <c r="BB5" s="256"/>
      <c r="BC5" s="256"/>
      <c r="BD5" s="256"/>
      <c r="BE5" s="256"/>
      <c r="BF5" s="256"/>
      <c r="BG5" s="256"/>
      <c r="BH5" s="256"/>
      <c r="BI5" s="256"/>
      <c r="BJ5" s="256"/>
      <c r="BK5" s="256"/>
      <c r="BL5" s="256"/>
      <c r="BM5" s="256"/>
      <c r="BN5" s="256"/>
      <c r="BO5" s="256"/>
      <c r="BP5" s="256"/>
      <c r="BQ5" s="256"/>
      <c r="BR5" s="256"/>
    </row>
    <row r="6" spans="1:70" ht="45.75" customHeight="1">
      <c r="B6" s="483"/>
      <c r="C6" s="481"/>
      <c r="D6" s="481"/>
      <c r="E6" s="481"/>
      <c r="F6" s="481"/>
      <c r="G6" s="481"/>
      <c r="H6" s="255" t="s">
        <v>15</v>
      </c>
      <c r="I6" s="255" t="s">
        <v>16</v>
      </c>
      <c r="J6" s="255" t="s">
        <v>15</v>
      </c>
      <c r="K6" s="255" t="s">
        <v>16</v>
      </c>
      <c r="L6" s="255" t="s">
        <v>15</v>
      </c>
      <c r="M6" s="255" t="s">
        <v>16</v>
      </c>
      <c r="N6" s="255" t="s">
        <v>15</v>
      </c>
      <c r="O6" s="255" t="s">
        <v>16</v>
      </c>
      <c r="P6" s="620"/>
      <c r="Q6" s="255" t="s">
        <v>15</v>
      </c>
      <c r="R6" s="255" t="s">
        <v>16</v>
      </c>
      <c r="S6" s="255" t="s">
        <v>15</v>
      </c>
      <c r="T6" s="255" t="s">
        <v>16</v>
      </c>
      <c r="U6" s="255" t="s">
        <v>15</v>
      </c>
      <c r="V6" s="255" t="s">
        <v>16</v>
      </c>
      <c r="W6" s="255" t="s">
        <v>15</v>
      </c>
      <c r="X6" s="255" t="s">
        <v>16</v>
      </c>
      <c r="Y6" s="620"/>
      <c r="Z6" s="625"/>
      <c r="AA6" s="625"/>
      <c r="AB6" s="625"/>
      <c r="AC6" s="625"/>
      <c r="AD6" s="625"/>
      <c r="AE6" s="625"/>
      <c r="AF6" s="625"/>
    </row>
    <row r="7" spans="1:70" ht="24.75" customHeight="1">
      <c r="A7" s="630" t="s">
        <v>110</v>
      </c>
      <c r="B7" s="622" t="str">
        <f>'I rok'!A46</f>
        <v>* Zajęcia fakultatywne (student w każdym semestrze wybiera 2 z 3)</v>
      </c>
      <c r="C7" s="623"/>
      <c r="D7" s="623"/>
      <c r="E7" s="623"/>
      <c r="F7" s="623"/>
      <c r="G7" s="623"/>
      <c r="H7" s="623"/>
      <c r="I7" s="623"/>
      <c r="J7" s="623"/>
      <c r="K7" s="623"/>
      <c r="L7" s="623"/>
      <c r="M7" s="623"/>
      <c r="N7" s="623"/>
      <c r="O7" s="623"/>
      <c r="P7" s="623"/>
      <c r="Q7" s="623"/>
      <c r="R7" s="623"/>
      <c r="S7" s="623"/>
      <c r="T7" s="623"/>
      <c r="U7" s="623"/>
      <c r="V7" s="623"/>
      <c r="W7" s="623"/>
      <c r="X7" s="623"/>
      <c r="Y7" s="623"/>
      <c r="Z7" s="623"/>
      <c r="AA7" s="623"/>
      <c r="AB7" s="623"/>
      <c r="AC7" s="623"/>
      <c r="AD7" s="623"/>
      <c r="AE7" s="623"/>
      <c r="AF7" s="624"/>
    </row>
    <row r="8" spans="1:70" ht="24.75" customHeight="1">
      <c r="A8" s="630"/>
      <c r="B8" s="228">
        <v>1</v>
      </c>
      <c r="C8" s="257" t="s">
        <v>114</v>
      </c>
      <c r="D8" s="258" t="str">
        <f>"0912-7LEK-F-"&amp;B8&amp;"-"&amp;UPPER(LEFT(C8,1))&amp;"HKN"</f>
        <v>0912-7LEK-F-1-ZHKN</v>
      </c>
      <c r="E8" s="259"/>
      <c r="F8" s="260">
        <v>1</v>
      </c>
      <c r="G8" s="261"/>
      <c r="H8" s="262">
        <v>15</v>
      </c>
      <c r="I8" s="228">
        <v>10</v>
      </c>
      <c r="J8" s="228"/>
      <c r="K8" s="228"/>
      <c r="L8" s="228"/>
      <c r="M8" s="228"/>
      <c r="N8" s="228"/>
      <c r="O8" s="228"/>
      <c r="P8" s="261">
        <v>1</v>
      </c>
      <c r="Q8" s="262"/>
      <c r="R8" s="228"/>
      <c r="S8" s="228"/>
      <c r="T8" s="228"/>
      <c r="U8" s="228"/>
      <c r="V8" s="228"/>
      <c r="W8" s="228"/>
      <c r="X8" s="228"/>
      <c r="Y8" s="261"/>
      <c r="Z8" s="262">
        <f>SUM(H8,J8,L8,N8,Q8,S8,U8,W8)</f>
        <v>15</v>
      </c>
      <c r="AA8" s="228">
        <f>SUM(H8,Q8)</f>
        <v>15</v>
      </c>
      <c r="AB8" s="228"/>
      <c r="AC8" s="228"/>
      <c r="AD8" s="228"/>
      <c r="AE8" s="228">
        <f>SUM(H8:O8,Q8:X8)</f>
        <v>25</v>
      </c>
      <c r="AF8" s="228">
        <f>SUM(P8,Y8)</f>
        <v>1</v>
      </c>
    </row>
    <row r="9" spans="1:70" ht="24.75" customHeight="1">
      <c r="A9" s="630"/>
      <c r="B9" s="228">
        <f>'I rok'!A48</f>
        <v>2</v>
      </c>
      <c r="C9" s="234" t="str">
        <f>'I rok'!B48</f>
        <v>Nieprawidłowości struktur tkankowych</v>
      </c>
      <c r="D9" s="263" t="str">
        <f>'I rok'!C48</f>
        <v>0912-7LEK-F-2-NST</v>
      </c>
      <c r="E9" s="259"/>
      <c r="F9" s="260">
        <f>'I rok'!E48</f>
        <v>1</v>
      </c>
      <c r="G9" s="261"/>
      <c r="H9" s="262">
        <f>'I rok'!G48</f>
        <v>15</v>
      </c>
      <c r="I9" s="228">
        <f>'I rok'!H48</f>
        <v>10</v>
      </c>
      <c r="J9" s="228"/>
      <c r="K9" s="228"/>
      <c r="L9" s="228"/>
      <c r="M9" s="228"/>
      <c r="N9" s="228"/>
      <c r="O9" s="228"/>
      <c r="P9" s="261">
        <f>'I rok'!O48</f>
        <v>1</v>
      </c>
      <c r="Q9" s="262"/>
      <c r="R9" s="228"/>
      <c r="S9" s="228"/>
      <c r="T9" s="228"/>
      <c r="U9" s="228"/>
      <c r="V9" s="228"/>
      <c r="W9" s="228"/>
      <c r="X9" s="228"/>
      <c r="Y9" s="261"/>
      <c r="Z9" s="262">
        <f>'I rok'!Y48</f>
        <v>15</v>
      </c>
      <c r="AA9" s="228">
        <f>'I rok'!Z48</f>
        <v>15</v>
      </c>
      <c r="AB9" s="228"/>
      <c r="AC9" s="228"/>
      <c r="AD9" s="228"/>
      <c r="AE9" s="228">
        <f>'I rok'!AD48</f>
        <v>25</v>
      </c>
      <c r="AF9" s="228">
        <f>'I rok'!AE48</f>
        <v>1</v>
      </c>
    </row>
    <row r="10" spans="1:70" ht="24.75" customHeight="1">
      <c r="A10" s="630"/>
      <c r="B10" s="228">
        <f>'I rok'!A49</f>
        <v>3</v>
      </c>
      <c r="C10" s="234" t="str">
        <f>'I rok'!B49</f>
        <v>Aktywne składniki materii żywej</v>
      </c>
      <c r="D10" s="263" t="str">
        <f>'I rok'!C49</f>
        <v>0912-7LEK-F-3-ASMŻ</v>
      </c>
      <c r="E10" s="259"/>
      <c r="F10" s="260">
        <f>'I rok'!E49</f>
        <v>1</v>
      </c>
      <c r="G10" s="261"/>
      <c r="H10" s="262">
        <f>'I rok'!G49</f>
        <v>15</v>
      </c>
      <c r="I10" s="228">
        <f>'I rok'!H49</f>
        <v>10</v>
      </c>
      <c r="J10" s="228"/>
      <c r="K10" s="228"/>
      <c r="L10" s="228"/>
      <c r="M10" s="228"/>
      <c r="N10" s="228"/>
      <c r="O10" s="228"/>
      <c r="P10" s="261">
        <f>'I rok'!O49</f>
        <v>1</v>
      </c>
      <c r="Q10" s="262"/>
      <c r="R10" s="228"/>
      <c r="S10" s="228"/>
      <c r="T10" s="228"/>
      <c r="U10" s="228"/>
      <c r="V10" s="228"/>
      <c r="W10" s="228"/>
      <c r="X10" s="228"/>
      <c r="Y10" s="261"/>
      <c r="Z10" s="262">
        <f>'I rok'!Y49</f>
        <v>15</v>
      </c>
      <c r="AA10" s="228">
        <f>'I rok'!Z49</f>
        <v>15</v>
      </c>
      <c r="AB10" s="228"/>
      <c r="AC10" s="228"/>
      <c r="AD10" s="228"/>
      <c r="AE10" s="228">
        <f>'I rok'!AD49</f>
        <v>25</v>
      </c>
      <c r="AF10" s="228">
        <f>'I rok'!AE49</f>
        <v>1</v>
      </c>
    </row>
    <row r="11" spans="1:70" ht="24.75" customHeight="1">
      <c r="A11" s="630"/>
      <c r="B11" s="228">
        <f>'I rok'!A50</f>
        <v>4</v>
      </c>
      <c r="C11" s="234" t="str">
        <f>'I rok'!B50</f>
        <v>Struktury ciała ludzkiego w badaniach obrazowych</v>
      </c>
      <c r="D11" s="263" t="str">
        <f>'I rok'!C50</f>
        <v>0912-7LEK-F-4-SC</v>
      </c>
      <c r="E11" s="259"/>
      <c r="F11" s="260">
        <f>'I rok'!E50</f>
        <v>2</v>
      </c>
      <c r="G11" s="261"/>
      <c r="H11" s="262"/>
      <c r="I11" s="228"/>
      <c r="J11" s="228"/>
      <c r="K11" s="228"/>
      <c r="L11" s="228"/>
      <c r="M11" s="228"/>
      <c r="N11" s="228"/>
      <c r="O11" s="228"/>
      <c r="P11" s="261"/>
      <c r="Q11" s="262">
        <f>'I rok'!P50</f>
        <v>15</v>
      </c>
      <c r="R11" s="228">
        <f>'I rok'!Q50</f>
        <v>10</v>
      </c>
      <c r="S11" s="228"/>
      <c r="T11" s="228"/>
      <c r="U11" s="228"/>
      <c r="V11" s="228"/>
      <c r="W11" s="228"/>
      <c r="X11" s="228"/>
      <c r="Y11" s="261">
        <f>'I rok'!X50</f>
        <v>1</v>
      </c>
      <c r="Z11" s="262">
        <f>'I rok'!Y50</f>
        <v>15</v>
      </c>
      <c r="AA11" s="228">
        <f>'I rok'!Z50</f>
        <v>15</v>
      </c>
      <c r="AB11" s="228"/>
      <c r="AC11" s="228"/>
      <c r="AD11" s="228"/>
      <c r="AE11" s="228">
        <f>'I rok'!AD50</f>
        <v>25</v>
      </c>
      <c r="AF11" s="228">
        <f>'I rok'!AE50</f>
        <v>1</v>
      </c>
    </row>
    <row r="12" spans="1:70" ht="24.75" customHeight="1">
      <c r="A12" s="630"/>
      <c r="B12" s="228">
        <f>'I rok'!A51</f>
        <v>5</v>
      </c>
      <c r="C12" s="234" t="str">
        <f>'I rok'!B51</f>
        <v>Strukturalne podstawy interwencji sercowo-naczyniowych</v>
      </c>
      <c r="D12" s="263" t="str">
        <f>'I rok'!C51</f>
        <v>0912-7LEK-F-5-SSP</v>
      </c>
      <c r="E12" s="259"/>
      <c r="F12" s="260">
        <f>'I rok'!E51</f>
        <v>2</v>
      </c>
      <c r="G12" s="261"/>
      <c r="H12" s="262"/>
      <c r="I12" s="228"/>
      <c r="J12" s="228"/>
      <c r="K12" s="228"/>
      <c r="L12" s="228"/>
      <c r="M12" s="228"/>
      <c r="N12" s="228"/>
      <c r="O12" s="228"/>
      <c r="P12" s="261"/>
      <c r="Q12" s="262">
        <f>'I rok'!P51</f>
        <v>15</v>
      </c>
      <c r="R12" s="228">
        <f>'I rok'!Q51</f>
        <v>10</v>
      </c>
      <c r="S12" s="228"/>
      <c r="T12" s="228"/>
      <c r="U12" s="228"/>
      <c r="V12" s="228"/>
      <c r="W12" s="228"/>
      <c r="X12" s="228"/>
      <c r="Y12" s="261">
        <f>'I rok'!X51</f>
        <v>1</v>
      </c>
      <c r="Z12" s="262">
        <f>'I rok'!Y51</f>
        <v>15</v>
      </c>
      <c r="AA12" s="228">
        <f>'I rok'!Z51</f>
        <v>15</v>
      </c>
      <c r="AB12" s="228"/>
      <c r="AC12" s="228"/>
      <c r="AD12" s="228"/>
      <c r="AE12" s="228">
        <f>'I rok'!AD51</f>
        <v>25</v>
      </c>
      <c r="AF12" s="228">
        <f>'I rok'!AE51</f>
        <v>1</v>
      </c>
    </row>
    <row r="13" spans="1:70" ht="24.75" customHeight="1">
      <c r="A13" s="630"/>
      <c r="B13" s="228">
        <f>'I rok'!A52</f>
        <v>6</v>
      </c>
      <c r="C13" s="234" t="str">
        <f>'I rok'!B52</f>
        <v>Nowoczesne techniki mikroskopowe w medycynie</v>
      </c>
      <c r="D13" s="263" t="str">
        <f>'I rok'!C52</f>
        <v>0912-7LEK-F-6-NT</v>
      </c>
      <c r="E13" s="259"/>
      <c r="F13" s="260">
        <f>'I rok'!E52</f>
        <v>2</v>
      </c>
      <c r="G13" s="261"/>
      <c r="H13" s="262"/>
      <c r="I13" s="228"/>
      <c r="J13" s="228"/>
      <c r="K13" s="228"/>
      <c r="L13" s="228"/>
      <c r="M13" s="228"/>
      <c r="N13" s="228"/>
      <c r="O13" s="228"/>
      <c r="P13" s="261"/>
      <c r="Q13" s="262">
        <f>'I rok'!P52</f>
        <v>15</v>
      </c>
      <c r="R13" s="228">
        <f>'I rok'!Q52</f>
        <v>10</v>
      </c>
      <c r="S13" s="228"/>
      <c r="T13" s="228"/>
      <c r="U13" s="228"/>
      <c r="V13" s="228"/>
      <c r="W13" s="228"/>
      <c r="X13" s="228"/>
      <c r="Y13" s="261">
        <f>'I rok'!X52</f>
        <v>1</v>
      </c>
      <c r="Z13" s="262">
        <f>'I rok'!Y52</f>
        <v>15</v>
      </c>
      <c r="AA13" s="228">
        <f>'I rok'!Z52</f>
        <v>15</v>
      </c>
      <c r="AB13" s="228"/>
      <c r="AC13" s="228"/>
      <c r="AD13" s="228"/>
      <c r="AE13" s="228">
        <f>'I rok'!AD52</f>
        <v>25</v>
      </c>
      <c r="AF13" s="228">
        <f>'I rok'!AE52</f>
        <v>1</v>
      </c>
    </row>
    <row r="14" spans="1:70" ht="24.75" customHeight="1">
      <c r="A14" s="630" t="s">
        <v>122</v>
      </c>
      <c r="B14" s="614" t="str">
        <f>'II rok'!A49</f>
        <v>* Zajęcia fakultatywne (student wybiera w 3 semestrze 3 z 5; w 4 semestrze 3 z 6)</v>
      </c>
      <c r="C14" s="615"/>
      <c r="D14" s="615"/>
      <c r="E14" s="615"/>
      <c r="F14" s="615"/>
      <c r="G14" s="615"/>
      <c r="H14" s="615"/>
      <c r="I14" s="615"/>
      <c r="J14" s="615"/>
      <c r="K14" s="615"/>
      <c r="L14" s="615"/>
      <c r="M14" s="615"/>
      <c r="N14" s="615"/>
      <c r="O14" s="615"/>
      <c r="P14" s="615"/>
      <c r="Q14" s="615"/>
      <c r="R14" s="615"/>
      <c r="S14" s="615"/>
      <c r="T14" s="615"/>
      <c r="U14" s="615"/>
      <c r="V14" s="615"/>
      <c r="W14" s="615"/>
      <c r="X14" s="615"/>
      <c r="Y14" s="615"/>
      <c r="Z14" s="615"/>
      <c r="AA14" s="615"/>
      <c r="AB14" s="615"/>
      <c r="AC14" s="615"/>
      <c r="AD14" s="615"/>
      <c r="AE14" s="615"/>
      <c r="AF14" s="616"/>
    </row>
    <row r="15" spans="1:70" ht="24.75" customHeight="1">
      <c r="A15" s="630"/>
      <c r="B15" s="270" t="str">
        <f>'II rok'!A51</f>
        <v>7</v>
      </c>
      <c r="C15" s="264" t="str">
        <f>'II rok'!B51</f>
        <v>Praktyka medyczna oparta na dowodach naukowych (EBM)</v>
      </c>
      <c r="D15" s="265" t="str">
        <f>'II rok'!C51</f>
        <v>0912-7LEK-F-7-EBM</v>
      </c>
      <c r="E15" s="266"/>
      <c r="F15" s="267">
        <f>'II rok'!E51</f>
        <v>3</v>
      </c>
      <c r="G15" s="268"/>
      <c r="H15" s="269">
        <f>'II rok'!G51</f>
        <v>15</v>
      </c>
      <c r="I15" s="270">
        <f>'II rok'!H51</f>
        <v>10</v>
      </c>
      <c r="J15" s="270"/>
      <c r="K15" s="270"/>
      <c r="L15" s="270"/>
      <c r="M15" s="270"/>
      <c r="N15" s="270"/>
      <c r="O15" s="270"/>
      <c r="P15" s="268">
        <f>'II rok'!O51</f>
        <v>1</v>
      </c>
      <c r="Q15" s="269"/>
      <c r="R15" s="270"/>
      <c r="S15" s="270"/>
      <c r="T15" s="270"/>
      <c r="U15" s="270"/>
      <c r="V15" s="270"/>
      <c r="W15" s="270"/>
      <c r="X15" s="270"/>
      <c r="Y15" s="268"/>
      <c r="Z15" s="269">
        <f>'II rok'!Y51</f>
        <v>15</v>
      </c>
      <c r="AA15" s="270">
        <f>'II rok'!Z51</f>
        <v>15</v>
      </c>
      <c r="AB15" s="270"/>
      <c r="AC15" s="270"/>
      <c r="AD15" s="270"/>
      <c r="AE15" s="270">
        <f>'II rok'!AD51</f>
        <v>25</v>
      </c>
      <c r="AF15" s="270">
        <f>'II rok'!AE51</f>
        <v>1</v>
      </c>
    </row>
    <row r="16" spans="1:70" ht="24.75" customHeight="1">
      <c r="A16" s="630"/>
      <c r="B16" s="270" t="str">
        <f>'II rok'!A52</f>
        <v>8</v>
      </c>
      <c r="C16" s="264" t="str">
        <f>'II rok'!B52</f>
        <v>Żywność modyfikowana genetycznie</v>
      </c>
      <c r="D16" s="265" t="str">
        <f>'II rok'!C52</f>
        <v>0912-7LEK-F-8-GMO</v>
      </c>
      <c r="E16" s="266"/>
      <c r="F16" s="267">
        <f>'II rok'!E52</f>
        <v>3</v>
      </c>
      <c r="G16" s="268"/>
      <c r="H16" s="269">
        <f>'II rok'!G52</f>
        <v>15</v>
      </c>
      <c r="I16" s="270">
        <f>'II rok'!H52</f>
        <v>10</v>
      </c>
      <c r="J16" s="270"/>
      <c r="K16" s="270"/>
      <c r="L16" s="270"/>
      <c r="M16" s="270"/>
      <c r="N16" s="270"/>
      <c r="O16" s="270"/>
      <c r="P16" s="268">
        <f>'II rok'!O52</f>
        <v>1</v>
      </c>
      <c r="Q16" s="269"/>
      <c r="R16" s="270"/>
      <c r="S16" s="270"/>
      <c r="T16" s="270"/>
      <c r="U16" s="270"/>
      <c r="V16" s="270"/>
      <c r="W16" s="270"/>
      <c r="X16" s="270"/>
      <c r="Y16" s="268"/>
      <c r="Z16" s="269">
        <f>'II rok'!Y52</f>
        <v>15</v>
      </c>
      <c r="AA16" s="270">
        <f>'II rok'!Z52</f>
        <v>15</v>
      </c>
      <c r="AB16" s="270"/>
      <c r="AC16" s="270"/>
      <c r="AD16" s="270"/>
      <c r="AE16" s="270">
        <f>'II rok'!AD52</f>
        <v>25</v>
      </c>
      <c r="AF16" s="270">
        <f>'II rok'!AE52</f>
        <v>1</v>
      </c>
    </row>
    <row r="17" spans="1:32" ht="24.75" customHeight="1">
      <c r="A17" s="630"/>
      <c r="B17" s="270" t="str">
        <f>'II rok'!A53</f>
        <v>9</v>
      </c>
      <c r="C17" s="264" t="str">
        <f>'II rok'!B53</f>
        <v>Zakażenia szpitalne</v>
      </c>
      <c r="D17" s="265" t="str">
        <f>'II rok'!C53</f>
        <v>0912-7LEK-C9-ZS</v>
      </c>
      <c r="E17" s="266"/>
      <c r="F17" s="267">
        <f>'II rok'!E53</f>
        <v>3</v>
      </c>
      <c r="G17" s="268"/>
      <c r="H17" s="269">
        <f>'II rok'!G53</f>
        <v>15</v>
      </c>
      <c r="I17" s="270">
        <f>'II rok'!H53</f>
        <v>10</v>
      </c>
      <c r="J17" s="270"/>
      <c r="K17" s="270"/>
      <c r="L17" s="270"/>
      <c r="M17" s="270"/>
      <c r="N17" s="270"/>
      <c r="O17" s="270"/>
      <c r="P17" s="268">
        <f>'II rok'!O53</f>
        <v>1</v>
      </c>
      <c r="Q17" s="269"/>
      <c r="R17" s="270"/>
      <c r="S17" s="270"/>
      <c r="T17" s="270"/>
      <c r="U17" s="270"/>
      <c r="V17" s="270"/>
      <c r="W17" s="270"/>
      <c r="X17" s="270"/>
      <c r="Y17" s="268"/>
      <c r="Z17" s="269">
        <f>'II rok'!Y53</f>
        <v>15</v>
      </c>
      <c r="AA17" s="270">
        <f>'II rok'!Z53</f>
        <v>15</v>
      </c>
      <c r="AB17" s="270"/>
      <c r="AC17" s="270"/>
      <c r="AD17" s="270"/>
      <c r="AE17" s="270">
        <f>'II rok'!AD53</f>
        <v>25</v>
      </c>
      <c r="AF17" s="270">
        <f>'II rok'!AE53</f>
        <v>1</v>
      </c>
    </row>
    <row r="18" spans="1:32" ht="24.75" customHeight="1">
      <c r="A18" s="630"/>
      <c r="B18" s="270" t="str">
        <f>'II rok'!A54</f>
        <v>10</v>
      </c>
      <c r="C18" s="264" t="str">
        <f>'II rok'!B54</f>
        <v>Molekularne podstawy działania narządów zmysłów</v>
      </c>
      <c r="D18" s="265" t="str">
        <f>'II rok'!C54</f>
        <v>0912-7LEK-C10-MP</v>
      </c>
      <c r="E18" s="266"/>
      <c r="F18" s="267">
        <f>'II rok'!E54</f>
        <v>3</v>
      </c>
      <c r="G18" s="268"/>
      <c r="H18" s="269">
        <f>'II rok'!G54</f>
        <v>15</v>
      </c>
      <c r="I18" s="270">
        <f>'II rok'!H54</f>
        <v>10</v>
      </c>
      <c r="J18" s="270"/>
      <c r="K18" s="270"/>
      <c r="L18" s="270"/>
      <c r="M18" s="270"/>
      <c r="N18" s="270"/>
      <c r="O18" s="270"/>
      <c r="P18" s="268">
        <f>'II rok'!O54</f>
        <v>1</v>
      </c>
      <c r="Q18" s="269"/>
      <c r="R18" s="270"/>
      <c r="S18" s="270"/>
      <c r="T18" s="270"/>
      <c r="U18" s="270"/>
      <c r="V18" s="270"/>
      <c r="W18" s="270"/>
      <c r="X18" s="270"/>
      <c r="Y18" s="268"/>
      <c r="Z18" s="269">
        <f>'II rok'!Y54</f>
        <v>15</v>
      </c>
      <c r="AA18" s="270">
        <f>'II rok'!Z54</f>
        <v>15</v>
      </c>
      <c r="AB18" s="270"/>
      <c r="AC18" s="270"/>
      <c r="AD18" s="270"/>
      <c r="AE18" s="270">
        <f>'II rok'!AD54</f>
        <v>25</v>
      </c>
      <c r="AF18" s="270">
        <f>'II rok'!AE54</f>
        <v>1</v>
      </c>
    </row>
    <row r="19" spans="1:32" ht="24.75" customHeight="1">
      <c r="A19" s="630"/>
      <c r="B19" s="270" t="str">
        <f>'II rok'!A55</f>
        <v>11</v>
      </c>
      <c r="C19" s="264" t="str">
        <f>'II rok'!B55</f>
        <v xml:space="preserve">Racjonalna antybiotykoterapia </v>
      </c>
      <c r="D19" s="265" t="str">
        <f>'II rok'!C55</f>
        <v>0912-7LEK-C11-RA</v>
      </c>
      <c r="E19" s="266"/>
      <c r="F19" s="267">
        <f>'II rok'!E55</f>
        <v>3</v>
      </c>
      <c r="G19" s="268"/>
      <c r="H19" s="269">
        <f>'II rok'!G55</f>
        <v>15</v>
      </c>
      <c r="I19" s="270">
        <f>'II rok'!H55</f>
        <v>10</v>
      </c>
      <c r="J19" s="270"/>
      <c r="K19" s="270"/>
      <c r="L19" s="270"/>
      <c r="M19" s="270"/>
      <c r="N19" s="270"/>
      <c r="O19" s="270"/>
      <c r="P19" s="268">
        <f>'II rok'!O55</f>
        <v>1</v>
      </c>
      <c r="Q19" s="269"/>
      <c r="R19" s="270"/>
      <c r="S19" s="270"/>
      <c r="T19" s="270"/>
      <c r="U19" s="270"/>
      <c r="V19" s="270"/>
      <c r="W19" s="270"/>
      <c r="X19" s="270"/>
      <c r="Y19" s="268"/>
      <c r="Z19" s="269">
        <f>'II rok'!Y55</f>
        <v>15</v>
      </c>
      <c r="AA19" s="270">
        <f>'II rok'!Z55</f>
        <v>15</v>
      </c>
      <c r="AB19" s="270"/>
      <c r="AC19" s="270"/>
      <c r="AD19" s="270"/>
      <c r="AE19" s="270">
        <f>'II rok'!AD55</f>
        <v>25</v>
      </c>
      <c r="AF19" s="270">
        <f>'II rok'!AE55</f>
        <v>1</v>
      </c>
    </row>
    <row r="20" spans="1:32" ht="24.75" customHeight="1">
      <c r="A20" s="630"/>
      <c r="B20" s="270" t="str">
        <f>'II rok'!A56</f>
        <v>12</v>
      </c>
      <c r="C20" s="264" t="str">
        <f>'II rok'!B56</f>
        <v xml:space="preserve">Inżynieria genetyczna </v>
      </c>
      <c r="D20" s="265" t="str">
        <f>'II rok'!C56</f>
        <v>0912-7LEK-C12-IG</v>
      </c>
      <c r="E20" s="266"/>
      <c r="F20" s="267">
        <f>'II rok'!E56</f>
        <v>4</v>
      </c>
      <c r="G20" s="268"/>
      <c r="H20" s="269"/>
      <c r="I20" s="270"/>
      <c r="J20" s="270"/>
      <c r="K20" s="270"/>
      <c r="L20" s="270"/>
      <c r="M20" s="270"/>
      <c r="N20" s="270"/>
      <c r="O20" s="270"/>
      <c r="P20" s="268"/>
      <c r="Q20" s="269"/>
      <c r="R20" s="270"/>
      <c r="S20" s="270">
        <f>'II rok'!R56</f>
        <v>15</v>
      </c>
      <c r="T20" s="270">
        <f>'II rok'!S56</f>
        <v>10</v>
      </c>
      <c r="U20" s="270"/>
      <c r="V20" s="270"/>
      <c r="W20" s="270"/>
      <c r="X20" s="270"/>
      <c r="Y20" s="268">
        <f>'II rok'!X56</f>
        <v>1</v>
      </c>
      <c r="Z20" s="269">
        <f>'II rok'!Y56</f>
        <v>15</v>
      </c>
      <c r="AA20" s="270"/>
      <c r="AB20" s="270">
        <f>'II rok'!AA56</f>
        <v>15</v>
      </c>
      <c r="AC20" s="270"/>
      <c r="AD20" s="270"/>
      <c r="AE20" s="270">
        <f>'II rok'!AD56</f>
        <v>25</v>
      </c>
      <c r="AF20" s="270">
        <f>'II rok'!AE56</f>
        <v>1</v>
      </c>
    </row>
    <row r="21" spans="1:32" ht="24.75" customHeight="1">
      <c r="A21" s="630"/>
      <c r="B21" s="270" t="str">
        <f>'II rok'!A57</f>
        <v>13</v>
      </c>
      <c r="C21" s="264" t="str">
        <f>'II rok'!B57</f>
        <v>Komunikacja interpersonalna</v>
      </c>
      <c r="D21" s="265" t="str">
        <f>'II rok'!C57</f>
        <v>0912-7LEK-F-13-KI</v>
      </c>
      <c r="E21" s="266"/>
      <c r="F21" s="267">
        <f>'II rok'!E57</f>
        <v>4</v>
      </c>
      <c r="G21" s="268"/>
      <c r="H21" s="269"/>
      <c r="I21" s="270"/>
      <c r="J21" s="270"/>
      <c r="K21" s="270"/>
      <c r="L21" s="270"/>
      <c r="M21" s="270"/>
      <c r="N21" s="270"/>
      <c r="O21" s="270"/>
      <c r="P21" s="268"/>
      <c r="Q21" s="269"/>
      <c r="R21" s="270"/>
      <c r="S21" s="270">
        <f>'II rok'!R57</f>
        <v>15</v>
      </c>
      <c r="T21" s="270">
        <f>'II rok'!S57</f>
        <v>10</v>
      </c>
      <c r="U21" s="270"/>
      <c r="V21" s="270"/>
      <c r="W21" s="270"/>
      <c r="X21" s="270"/>
      <c r="Y21" s="268">
        <f>'II rok'!X57</f>
        <v>1</v>
      </c>
      <c r="Z21" s="269">
        <f>'II rok'!Y57</f>
        <v>15</v>
      </c>
      <c r="AA21" s="270"/>
      <c r="AB21" s="270">
        <f>'II rok'!AA57</f>
        <v>15</v>
      </c>
      <c r="AC21" s="270"/>
      <c r="AD21" s="270"/>
      <c r="AE21" s="270">
        <f>'II rok'!AD57</f>
        <v>25</v>
      </c>
      <c r="AF21" s="270">
        <f>'II rok'!AE57</f>
        <v>1</v>
      </c>
    </row>
    <row r="22" spans="1:32" ht="24.75" customHeight="1">
      <c r="A22" s="630"/>
      <c r="B22" s="270" t="str">
        <f>'II rok'!A58</f>
        <v>14</v>
      </c>
      <c r="C22" s="264" t="str">
        <f>'II rok'!B58</f>
        <v>Elektrofizjologia</v>
      </c>
      <c r="D22" s="265" t="str">
        <f>'II rok'!C58</f>
        <v>0912-7LEK-F-14-Ef</v>
      </c>
      <c r="E22" s="266"/>
      <c r="F22" s="267">
        <f>'II rok'!E58</f>
        <v>4</v>
      </c>
      <c r="G22" s="268"/>
      <c r="H22" s="269"/>
      <c r="I22" s="270"/>
      <c r="J22" s="270"/>
      <c r="K22" s="270"/>
      <c r="L22" s="270"/>
      <c r="M22" s="270"/>
      <c r="N22" s="270"/>
      <c r="O22" s="270"/>
      <c r="P22" s="268"/>
      <c r="Q22" s="269">
        <f>'II rok'!P58</f>
        <v>15</v>
      </c>
      <c r="R22" s="270">
        <f>'II rok'!Q58</f>
        <v>10</v>
      </c>
      <c r="S22" s="270"/>
      <c r="T22" s="270"/>
      <c r="U22" s="270"/>
      <c r="V22" s="270"/>
      <c r="W22" s="270"/>
      <c r="X22" s="270"/>
      <c r="Y22" s="268">
        <f>'II rok'!X58</f>
        <v>1</v>
      </c>
      <c r="Z22" s="269">
        <f>'II rok'!Y58</f>
        <v>15</v>
      </c>
      <c r="AA22" s="270">
        <f>'II rok'!Z58</f>
        <v>15</v>
      </c>
      <c r="AB22" s="270"/>
      <c r="AC22" s="270"/>
      <c r="AD22" s="270"/>
      <c r="AE22" s="270">
        <f>'II rok'!AD58</f>
        <v>25</v>
      </c>
      <c r="AF22" s="270">
        <f>'II rok'!AE58</f>
        <v>1</v>
      </c>
    </row>
    <row r="23" spans="1:32" ht="24.75" customHeight="1">
      <c r="A23" s="630"/>
      <c r="B23" s="396" t="str">
        <f>'II rok'!A59</f>
        <v>15</v>
      </c>
      <c r="C23" s="397" t="str">
        <f>'II rok'!B59</f>
        <v>Aparatura medyczna</v>
      </c>
      <c r="D23" s="398" t="str">
        <f>'II rok'!C59</f>
        <v>0912-7LEK-F-15-AM</v>
      </c>
      <c r="E23" s="266"/>
      <c r="F23" s="267">
        <f>'II rok'!E59</f>
        <v>4</v>
      </c>
      <c r="G23" s="268"/>
      <c r="H23" s="269"/>
      <c r="I23" s="270"/>
      <c r="J23" s="270"/>
      <c r="K23" s="270"/>
      <c r="L23" s="270"/>
      <c r="M23" s="270"/>
      <c r="N23" s="270"/>
      <c r="O23" s="270"/>
      <c r="P23" s="268"/>
      <c r="Q23" s="269">
        <f>'II rok'!P59</f>
        <v>15</v>
      </c>
      <c r="R23" s="270">
        <f>'II rok'!Q59</f>
        <v>10</v>
      </c>
      <c r="S23" s="270"/>
      <c r="T23" s="270"/>
      <c r="U23" s="270"/>
      <c r="V23" s="270"/>
      <c r="W23" s="270"/>
      <c r="X23" s="270"/>
      <c r="Y23" s="268">
        <f>'II rok'!X59</f>
        <v>1</v>
      </c>
      <c r="Z23" s="269">
        <f>'II rok'!Y59</f>
        <v>15</v>
      </c>
      <c r="AA23" s="270">
        <f>'II rok'!Z59</f>
        <v>15</v>
      </c>
      <c r="AB23" s="270"/>
      <c r="AC23" s="270"/>
      <c r="AD23" s="270"/>
      <c r="AE23" s="270">
        <f>'II rok'!AD59</f>
        <v>25</v>
      </c>
      <c r="AF23" s="270">
        <f>'II rok'!AE59</f>
        <v>1</v>
      </c>
    </row>
    <row r="24" spans="1:32" ht="24.75" customHeight="1">
      <c r="A24" s="630"/>
      <c r="B24" s="270" t="str">
        <f>'II rok'!A60</f>
        <v>16</v>
      </c>
      <c r="C24" s="264" t="str">
        <f>'II rok'!B60</f>
        <v>Immunologia onkologiczna</v>
      </c>
      <c r="D24" s="265" t="str">
        <f>'II rok'!C60</f>
        <v>0912-7LEK-F-16-IO</v>
      </c>
      <c r="E24" s="266"/>
      <c r="F24" s="267">
        <f>'II rok'!E60</f>
        <v>4</v>
      </c>
      <c r="G24" s="268"/>
      <c r="H24" s="305"/>
      <c r="I24" s="306"/>
      <c r="J24" s="306"/>
      <c r="K24" s="306"/>
      <c r="L24" s="306"/>
      <c r="M24" s="306"/>
      <c r="N24" s="306"/>
      <c r="O24" s="306"/>
      <c r="P24" s="304"/>
      <c r="Q24" s="305">
        <f>'II rok'!P60</f>
        <v>15</v>
      </c>
      <c r="R24" s="306">
        <f>'II rok'!Q60</f>
        <v>10</v>
      </c>
      <c r="S24" s="306"/>
      <c r="T24" s="306"/>
      <c r="U24" s="306"/>
      <c r="V24" s="306"/>
      <c r="W24" s="306"/>
      <c r="X24" s="306"/>
      <c r="Y24" s="304">
        <f>'II rok'!X60</f>
        <v>1</v>
      </c>
      <c r="Z24" s="305">
        <f>'II rok'!Y60</f>
        <v>15</v>
      </c>
      <c r="AA24" s="306">
        <f>'II rok'!Z60</f>
        <v>15</v>
      </c>
      <c r="AB24" s="306"/>
      <c r="AC24" s="306"/>
      <c r="AD24" s="306"/>
      <c r="AE24" s="306">
        <f>'II rok'!AD60</f>
        <v>25</v>
      </c>
      <c r="AF24" s="306">
        <f>'II rok'!AE60</f>
        <v>1</v>
      </c>
    </row>
    <row r="25" spans="1:32" ht="24.75" customHeight="1">
      <c r="A25" s="321"/>
      <c r="B25" s="396" t="str">
        <f>'II rok'!A61</f>
        <v>17</v>
      </c>
      <c r="C25" s="338" t="s">
        <v>282</v>
      </c>
      <c r="D25" s="337" t="str">
        <f>"0912-7LEK-F-"&amp;B25&amp;"-"&amp;UPPER(LEFT(C25,1))&amp;"O"</f>
        <v>0912-7LEK-F-17-HO</v>
      </c>
      <c r="E25" s="266"/>
      <c r="F25" s="267" t="s">
        <v>145</v>
      </c>
      <c r="G25" s="279"/>
      <c r="H25" s="266"/>
      <c r="I25" s="270"/>
      <c r="J25" s="270"/>
      <c r="K25" s="270"/>
      <c r="L25" s="270"/>
      <c r="M25" s="270"/>
      <c r="N25" s="270"/>
      <c r="O25" s="270"/>
      <c r="P25" s="268"/>
      <c r="Q25" s="266">
        <f>'II rok'!P61</f>
        <v>15</v>
      </c>
      <c r="R25" s="270">
        <f>'II rok'!Q61</f>
        <v>10</v>
      </c>
      <c r="S25" s="270"/>
      <c r="T25" s="270"/>
      <c r="U25" s="270"/>
      <c r="V25" s="270"/>
      <c r="W25" s="270"/>
      <c r="X25" s="270"/>
      <c r="Y25" s="268">
        <f>'II rok'!X61</f>
        <v>1</v>
      </c>
      <c r="Z25" s="269">
        <f>'II rok'!Y61</f>
        <v>15</v>
      </c>
      <c r="AA25" s="270">
        <f>'II rok'!Z61</f>
        <v>15</v>
      </c>
      <c r="AB25" s="270"/>
      <c r="AC25" s="270"/>
      <c r="AD25" s="270"/>
      <c r="AE25" s="270">
        <f>'II rok'!AD61</f>
        <v>25</v>
      </c>
      <c r="AF25" s="270">
        <f>'II rok'!AE61</f>
        <v>1</v>
      </c>
    </row>
    <row r="26" spans="1:32" ht="24.75" customHeight="1">
      <c r="A26" s="630" t="s">
        <v>150</v>
      </c>
      <c r="B26" s="614" t="str">
        <f>'III rok'!A43</f>
        <v>* Zajęcia fakultatywne (student wybiera w 5 semestrze 3 z 5; w 6 semestrze 2 z 3)</v>
      </c>
      <c r="C26" s="615"/>
      <c r="D26" s="615"/>
      <c r="E26" s="615"/>
      <c r="F26" s="615"/>
      <c r="G26" s="615"/>
      <c r="H26" s="617"/>
      <c r="I26" s="617"/>
      <c r="J26" s="617"/>
      <c r="K26" s="617"/>
      <c r="L26" s="617"/>
      <c r="M26" s="617"/>
      <c r="N26" s="617"/>
      <c r="O26" s="617"/>
      <c r="P26" s="617"/>
      <c r="Q26" s="617"/>
      <c r="R26" s="617"/>
      <c r="S26" s="617"/>
      <c r="T26" s="617"/>
      <c r="U26" s="617"/>
      <c r="V26" s="617"/>
      <c r="W26" s="617"/>
      <c r="X26" s="617"/>
      <c r="Y26" s="617"/>
      <c r="Z26" s="617"/>
      <c r="AA26" s="617"/>
      <c r="AB26" s="617"/>
      <c r="AC26" s="617"/>
      <c r="AD26" s="617"/>
      <c r="AE26" s="617"/>
      <c r="AF26" s="618"/>
    </row>
    <row r="27" spans="1:32" ht="24.75" customHeight="1">
      <c r="A27" s="630"/>
      <c r="B27" s="270" t="s">
        <v>152</v>
      </c>
      <c r="C27" s="264" t="str">
        <f>'III rok'!B45</f>
        <v>Patofizjologia nerek</v>
      </c>
      <c r="D27" s="265" t="str">
        <f>'III rok'!C45</f>
        <v>0912-7LEK-F-18-PN</v>
      </c>
      <c r="E27" s="266"/>
      <c r="F27" s="267">
        <f>'III rok'!E45</f>
        <v>5</v>
      </c>
      <c r="G27" s="268"/>
      <c r="H27" s="269">
        <f>'III rok'!G45</f>
        <v>15</v>
      </c>
      <c r="I27" s="270">
        <f>'III rok'!H45</f>
        <v>10</v>
      </c>
      <c r="J27" s="270"/>
      <c r="K27" s="270"/>
      <c r="L27" s="270"/>
      <c r="M27" s="270"/>
      <c r="N27" s="270"/>
      <c r="O27" s="270"/>
      <c r="P27" s="268">
        <f>'III rok'!O45</f>
        <v>1</v>
      </c>
      <c r="Q27" s="269"/>
      <c r="R27" s="270"/>
      <c r="S27" s="270"/>
      <c r="T27" s="270"/>
      <c r="U27" s="270"/>
      <c r="V27" s="270"/>
      <c r="W27" s="270"/>
      <c r="X27" s="270"/>
      <c r="Y27" s="268"/>
      <c r="Z27" s="269">
        <f>'III rok'!Y45</f>
        <v>15</v>
      </c>
      <c r="AA27" s="270">
        <f>'III rok'!Z45</f>
        <v>15</v>
      </c>
      <c r="AB27" s="270"/>
      <c r="AC27" s="270"/>
      <c r="AD27" s="270"/>
      <c r="AE27" s="270">
        <f>'III rok'!AD45</f>
        <v>25</v>
      </c>
      <c r="AF27" s="270">
        <f>'III rok'!AE45</f>
        <v>1</v>
      </c>
    </row>
    <row r="28" spans="1:32" ht="24.75" customHeight="1">
      <c r="A28" s="630"/>
      <c r="B28" s="270" t="s">
        <v>153</v>
      </c>
      <c r="C28" s="264" t="str">
        <f>'III rok'!B46</f>
        <v xml:space="preserve">Patofizjologia trzustki </v>
      </c>
      <c r="D28" s="265" t="str">
        <f>'III rok'!C46</f>
        <v>0912-7LEK-F-19-PT</v>
      </c>
      <c r="E28" s="266"/>
      <c r="F28" s="267">
        <f>'III rok'!E46</f>
        <v>5</v>
      </c>
      <c r="G28" s="268"/>
      <c r="H28" s="269">
        <f>'III rok'!G46</f>
        <v>15</v>
      </c>
      <c r="I28" s="270">
        <f>'III rok'!H46</f>
        <v>10</v>
      </c>
      <c r="J28" s="270"/>
      <c r="K28" s="270"/>
      <c r="L28" s="270"/>
      <c r="M28" s="270"/>
      <c r="N28" s="270"/>
      <c r="O28" s="270"/>
      <c r="P28" s="268">
        <f>'III rok'!O46</f>
        <v>1</v>
      </c>
      <c r="Q28" s="269"/>
      <c r="R28" s="270"/>
      <c r="S28" s="270"/>
      <c r="T28" s="270"/>
      <c r="U28" s="270"/>
      <c r="V28" s="270"/>
      <c r="W28" s="270"/>
      <c r="X28" s="270"/>
      <c r="Y28" s="268"/>
      <c r="Z28" s="269">
        <f>'III rok'!Y46</f>
        <v>15</v>
      </c>
      <c r="AA28" s="270">
        <f>'III rok'!Z46</f>
        <v>15</v>
      </c>
      <c r="AB28" s="270"/>
      <c r="AC28" s="270"/>
      <c r="AD28" s="270"/>
      <c r="AE28" s="270">
        <f>'III rok'!AD46</f>
        <v>25</v>
      </c>
      <c r="AF28" s="270">
        <f>'III rok'!AE46</f>
        <v>1</v>
      </c>
    </row>
    <row r="29" spans="1:32" ht="24.75" customHeight="1">
      <c r="A29" s="630"/>
      <c r="B29" s="270" t="s">
        <v>154</v>
      </c>
      <c r="C29" s="264" t="str">
        <f>'III rok'!B47</f>
        <v>Metody diagnostyki patomorfologicznej i molekularnej</v>
      </c>
      <c r="D29" s="265" t="str">
        <f>'III rok'!C47</f>
        <v>0912-7LEK-F-20-M</v>
      </c>
      <c r="E29" s="266"/>
      <c r="F29" s="267">
        <f>'III rok'!E47</f>
        <v>5</v>
      </c>
      <c r="G29" s="268"/>
      <c r="H29" s="269">
        <f>'III rok'!G47</f>
        <v>15</v>
      </c>
      <c r="I29" s="270">
        <f>'III rok'!H47</f>
        <v>10</v>
      </c>
      <c r="J29" s="270"/>
      <c r="K29" s="270"/>
      <c r="L29" s="270"/>
      <c r="M29" s="270"/>
      <c r="N29" s="270"/>
      <c r="O29" s="270"/>
      <c r="P29" s="268">
        <f>'III rok'!O47</f>
        <v>1</v>
      </c>
      <c r="Q29" s="269"/>
      <c r="R29" s="270"/>
      <c r="S29" s="270"/>
      <c r="T29" s="270"/>
      <c r="U29" s="270"/>
      <c r="V29" s="270"/>
      <c r="W29" s="270"/>
      <c r="X29" s="270"/>
      <c r="Y29" s="268"/>
      <c r="Z29" s="269">
        <f>'III rok'!Y47</f>
        <v>15</v>
      </c>
      <c r="AA29" s="270">
        <f>'III rok'!Z47</f>
        <v>15</v>
      </c>
      <c r="AB29" s="270"/>
      <c r="AC29" s="270"/>
      <c r="AD29" s="270"/>
      <c r="AE29" s="270">
        <f>'III rok'!AD47</f>
        <v>25</v>
      </c>
      <c r="AF29" s="270">
        <f>'III rok'!AE47</f>
        <v>1</v>
      </c>
    </row>
    <row r="30" spans="1:32" ht="24.75" customHeight="1">
      <c r="A30" s="630"/>
      <c r="B30" s="270" t="s">
        <v>155</v>
      </c>
      <c r="C30" s="264" t="str">
        <f>'III rok'!B48</f>
        <v>Interwencja kryzysowa
 (przedmiot realizowany w formie ćwiczeń)</v>
      </c>
      <c r="D30" s="265" t="str">
        <f>'III rok'!C48</f>
        <v>0912-7LEK-F-21-IK</v>
      </c>
      <c r="E30" s="266"/>
      <c r="F30" s="267">
        <f>'III rok'!E48</f>
        <v>5</v>
      </c>
      <c r="G30" s="268"/>
      <c r="H30" s="269"/>
      <c r="I30" s="270"/>
      <c r="J30" s="270">
        <f>'III rok'!I48</f>
        <v>15</v>
      </c>
      <c r="K30" s="270">
        <f>'III rok'!J48</f>
        <v>10</v>
      </c>
      <c r="L30" s="270"/>
      <c r="M30" s="270"/>
      <c r="N30" s="270"/>
      <c r="O30" s="270"/>
      <c r="P30" s="268">
        <f>'III rok'!O48</f>
        <v>1</v>
      </c>
      <c r="Q30" s="269"/>
      <c r="R30" s="270"/>
      <c r="S30" s="270"/>
      <c r="T30" s="270"/>
      <c r="U30" s="270"/>
      <c r="V30" s="270"/>
      <c r="W30" s="270"/>
      <c r="X30" s="270"/>
      <c r="Y30" s="268"/>
      <c r="Z30" s="269">
        <f>'III rok'!Y48</f>
        <v>15</v>
      </c>
      <c r="AA30" s="270">
        <f>'III rok'!Z48</f>
        <v>0</v>
      </c>
      <c r="AB30" s="270">
        <f>'III rok'!AA48</f>
        <v>15</v>
      </c>
      <c r="AC30" s="270"/>
      <c r="AD30" s="270"/>
      <c r="AE30" s="270">
        <f>'III rok'!AD48</f>
        <v>25</v>
      </c>
      <c r="AF30" s="270">
        <f>'III rok'!AE48</f>
        <v>1</v>
      </c>
    </row>
    <row r="31" spans="1:32" ht="24.75" customHeight="1">
      <c r="A31" s="630"/>
      <c r="B31" s="270" t="s">
        <v>191</v>
      </c>
      <c r="C31" s="264" t="str">
        <f>'III rok'!B49</f>
        <v>Język migowy 
 (przedmiot realizowany w formie ćwiczeń)</v>
      </c>
      <c r="D31" s="265" t="str">
        <f>'III rok'!C49</f>
        <v>0912-7LEK-F-22-JM</v>
      </c>
      <c r="E31" s="266"/>
      <c r="F31" s="267">
        <f>'III rok'!E49</f>
        <v>5</v>
      </c>
      <c r="G31" s="268"/>
      <c r="H31" s="269"/>
      <c r="I31" s="270"/>
      <c r="J31" s="270">
        <f>'III rok'!I49</f>
        <v>15</v>
      </c>
      <c r="K31" s="270">
        <f>'III rok'!J49</f>
        <v>10</v>
      </c>
      <c r="L31" s="270"/>
      <c r="M31" s="270"/>
      <c r="N31" s="270"/>
      <c r="O31" s="270"/>
      <c r="P31" s="268">
        <f>'III rok'!O49</f>
        <v>1</v>
      </c>
      <c r="Q31" s="269"/>
      <c r="R31" s="270"/>
      <c r="S31" s="270"/>
      <c r="T31" s="270"/>
      <c r="U31" s="270"/>
      <c r="V31" s="270"/>
      <c r="W31" s="270"/>
      <c r="X31" s="270"/>
      <c r="Y31" s="268"/>
      <c r="Z31" s="269">
        <f>'III rok'!Y49</f>
        <v>15</v>
      </c>
      <c r="AA31" s="270">
        <f>'III rok'!Z49</f>
        <v>0</v>
      </c>
      <c r="AB31" s="270">
        <f>'III rok'!AA49</f>
        <v>15</v>
      </c>
      <c r="AC31" s="270"/>
      <c r="AD31" s="270"/>
      <c r="AE31" s="270">
        <f>'III rok'!AD49</f>
        <v>25</v>
      </c>
      <c r="AF31" s="270">
        <f>'III rok'!AE49</f>
        <v>1</v>
      </c>
    </row>
    <row r="32" spans="1:32" ht="24.75" customHeight="1">
      <c r="A32" s="630"/>
      <c r="B32" s="270" t="s">
        <v>192</v>
      </c>
      <c r="C32" s="264" t="str">
        <f>'III rok'!B50</f>
        <v>Patomorfologia zmian zapalnych o różnej etiologii</v>
      </c>
      <c r="D32" s="265" t="str">
        <f>'III rok'!C50</f>
        <v>0912-7LEK-F-23-PZ</v>
      </c>
      <c r="E32" s="266"/>
      <c r="F32" s="267">
        <f>'III rok'!E50</f>
        <v>6</v>
      </c>
      <c r="G32" s="268"/>
      <c r="H32" s="269"/>
      <c r="I32" s="270"/>
      <c r="J32" s="270"/>
      <c r="K32" s="270"/>
      <c r="L32" s="270"/>
      <c r="M32" s="270"/>
      <c r="N32" s="270"/>
      <c r="O32" s="270"/>
      <c r="P32" s="268"/>
      <c r="Q32" s="269">
        <f>'III rok'!P50</f>
        <v>15</v>
      </c>
      <c r="R32" s="270">
        <f>'III rok'!Q50</f>
        <v>10</v>
      </c>
      <c r="S32" s="270"/>
      <c r="T32" s="270"/>
      <c r="U32" s="270"/>
      <c r="V32" s="270"/>
      <c r="W32" s="270"/>
      <c r="X32" s="270"/>
      <c r="Y32" s="268">
        <f>'III rok'!X50</f>
        <v>1</v>
      </c>
      <c r="Z32" s="269">
        <f>'III rok'!Y50</f>
        <v>15</v>
      </c>
      <c r="AA32" s="270">
        <f>'III rok'!Z50</f>
        <v>15</v>
      </c>
      <c r="AB32" s="270"/>
      <c r="AC32" s="270"/>
      <c r="AD32" s="270"/>
      <c r="AE32" s="270">
        <f>'III rok'!AD50</f>
        <v>25</v>
      </c>
      <c r="AF32" s="270">
        <f>'III rok'!AE50</f>
        <v>1</v>
      </c>
    </row>
    <row r="33" spans="1:32" ht="24.75" customHeight="1">
      <c r="A33" s="630"/>
      <c r="B33" s="270" t="s">
        <v>193</v>
      </c>
      <c r="C33" s="264" t="str">
        <f>'III rok'!B51</f>
        <v>Specyfika narządowa raportów patomorfologicznych nowotworów</v>
      </c>
      <c r="D33" s="265" t="str">
        <f>'III rok'!C51</f>
        <v>0912-7LEK-F-24-S</v>
      </c>
      <c r="E33" s="266"/>
      <c r="F33" s="267">
        <f>'III rok'!E51</f>
        <v>6</v>
      </c>
      <c r="G33" s="268"/>
      <c r="H33" s="269"/>
      <c r="I33" s="270"/>
      <c r="J33" s="270"/>
      <c r="K33" s="270"/>
      <c r="L33" s="270"/>
      <c r="M33" s="270"/>
      <c r="N33" s="270"/>
      <c r="O33" s="270"/>
      <c r="P33" s="268"/>
      <c r="Q33" s="269">
        <f>'III rok'!P51</f>
        <v>15</v>
      </c>
      <c r="R33" s="270">
        <f>'III rok'!Q51</f>
        <v>10</v>
      </c>
      <c r="S33" s="270"/>
      <c r="T33" s="270"/>
      <c r="U33" s="270"/>
      <c r="V33" s="270"/>
      <c r="W33" s="270"/>
      <c r="X33" s="270"/>
      <c r="Y33" s="268">
        <f>'III rok'!X51</f>
        <v>1</v>
      </c>
      <c r="Z33" s="269">
        <f>'III rok'!Y51</f>
        <v>15</v>
      </c>
      <c r="AA33" s="270">
        <f>'III rok'!Z51</f>
        <v>15</v>
      </c>
      <c r="AB33" s="270"/>
      <c r="AC33" s="270"/>
      <c r="AD33" s="270"/>
      <c r="AE33" s="270">
        <f>'III rok'!AD51</f>
        <v>25</v>
      </c>
      <c r="AF33" s="270">
        <f>'III rok'!AE51</f>
        <v>1</v>
      </c>
    </row>
    <row r="34" spans="1:32" ht="24.75" customHeight="1">
      <c r="A34" s="630"/>
      <c r="B34" s="270" t="s">
        <v>194</v>
      </c>
      <c r="C34" s="264" t="str">
        <f>'III rok'!B52</f>
        <v>Patofizjologia układu endokrynnego</v>
      </c>
      <c r="D34" s="265" t="str">
        <f>'III rok'!C52</f>
        <v>0912-7LEK-F-25-PUE</v>
      </c>
      <c r="E34" s="266"/>
      <c r="F34" s="267">
        <f>'III rok'!E52</f>
        <v>6</v>
      </c>
      <c r="G34" s="268"/>
      <c r="H34" s="269"/>
      <c r="I34" s="270"/>
      <c r="J34" s="270"/>
      <c r="K34" s="270"/>
      <c r="L34" s="270"/>
      <c r="M34" s="270"/>
      <c r="N34" s="270"/>
      <c r="O34" s="270"/>
      <c r="P34" s="268"/>
      <c r="Q34" s="269">
        <f>'III rok'!P52</f>
        <v>15</v>
      </c>
      <c r="R34" s="270">
        <f>'III rok'!Q52</f>
        <v>10</v>
      </c>
      <c r="S34" s="270"/>
      <c r="T34" s="270"/>
      <c r="U34" s="270"/>
      <c r="V34" s="270"/>
      <c r="W34" s="270"/>
      <c r="X34" s="270"/>
      <c r="Y34" s="268">
        <f>'III rok'!X52</f>
        <v>1</v>
      </c>
      <c r="Z34" s="269">
        <f>'III rok'!Y52</f>
        <v>15</v>
      </c>
      <c r="AA34" s="270">
        <f>'III rok'!Z52</f>
        <v>15</v>
      </c>
      <c r="AB34" s="270"/>
      <c r="AC34" s="270"/>
      <c r="AD34" s="270"/>
      <c r="AE34" s="270">
        <f>'III rok'!AD52</f>
        <v>25</v>
      </c>
      <c r="AF34" s="270">
        <f>'III rok'!AE52</f>
        <v>1</v>
      </c>
    </row>
    <row r="35" spans="1:32" ht="24.75" customHeight="1">
      <c r="A35" s="630" t="s">
        <v>151</v>
      </c>
      <c r="B35" s="614" t="str">
        <f>'IV rok'!A45</f>
        <v>* Zajęcia fakultatywne ( student wybiera z grupy 9 przedmiotów: 3 przedmioty w 7 semestrze oraz 3 przedmioty w 8 semestrze)</v>
      </c>
      <c r="C35" s="615"/>
      <c r="D35" s="615"/>
      <c r="E35" s="615"/>
      <c r="F35" s="615"/>
      <c r="G35" s="615"/>
      <c r="H35" s="615"/>
      <c r="I35" s="615"/>
      <c r="J35" s="615"/>
      <c r="K35" s="615"/>
      <c r="L35" s="615"/>
      <c r="M35" s="615"/>
      <c r="N35" s="615"/>
      <c r="O35" s="615"/>
      <c r="P35" s="615"/>
      <c r="Q35" s="615"/>
      <c r="R35" s="615"/>
      <c r="S35" s="615"/>
      <c r="T35" s="615"/>
      <c r="U35" s="615"/>
      <c r="V35" s="615"/>
      <c r="W35" s="615"/>
      <c r="X35" s="615"/>
      <c r="Y35" s="615"/>
      <c r="Z35" s="615"/>
      <c r="AA35" s="615"/>
      <c r="AB35" s="615"/>
      <c r="AC35" s="615"/>
      <c r="AD35" s="615"/>
      <c r="AE35" s="615"/>
      <c r="AF35" s="616"/>
    </row>
    <row r="36" spans="1:32" ht="24.75" customHeight="1">
      <c r="A36" s="630"/>
      <c r="B36" s="270" t="s">
        <v>208</v>
      </c>
      <c r="C36" s="264" t="str">
        <f>'IV rok'!B46</f>
        <v>Farmakoekonomika</v>
      </c>
      <c r="D36" s="265" t="str">
        <f>'IV rok'!C46</f>
        <v>0912-7LEK-F26-F</v>
      </c>
      <c r="E36" s="266"/>
      <c r="F36" s="267">
        <f>'IV rok'!E46</f>
        <v>7</v>
      </c>
      <c r="G36" s="268"/>
      <c r="H36" s="269">
        <f>'IV rok'!G46</f>
        <v>15</v>
      </c>
      <c r="I36" s="270">
        <f>'IV rok'!H46</f>
        <v>10</v>
      </c>
      <c r="J36" s="270"/>
      <c r="K36" s="270"/>
      <c r="L36" s="270"/>
      <c r="M36" s="270"/>
      <c r="N36" s="270"/>
      <c r="O36" s="270"/>
      <c r="P36" s="268">
        <f>'IV rok'!O46</f>
        <v>1</v>
      </c>
      <c r="Q36" s="269"/>
      <c r="R36" s="270"/>
      <c r="S36" s="270"/>
      <c r="T36" s="270"/>
      <c r="U36" s="270"/>
      <c r="V36" s="270"/>
      <c r="W36" s="270"/>
      <c r="X36" s="270"/>
      <c r="Y36" s="268"/>
      <c r="Z36" s="269">
        <f>'IV rok'!Y46</f>
        <v>15</v>
      </c>
      <c r="AA36" s="270">
        <f>'IV rok'!Z46</f>
        <v>15</v>
      </c>
      <c r="AB36" s="270"/>
      <c r="AC36" s="270"/>
      <c r="AD36" s="270"/>
      <c r="AE36" s="270">
        <f>'IV rok'!AD46</f>
        <v>25</v>
      </c>
      <c r="AF36" s="270">
        <f>'IV rok'!AE46</f>
        <v>1</v>
      </c>
    </row>
    <row r="37" spans="1:32" ht="24.75" customHeight="1">
      <c r="A37" s="630"/>
      <c r="B37" s="270" t="s">
        <v>209</v>
      </c>
      <c r="C37" s="264" t="str">
        <f>'IV rok'!B47</f>
        <v>Zakażenia wirusami przenoszonymi drogą krwi</v>
      </c>
      <c r="D37" s="265" t="str">
        <f>'IV rok'!C47</f>
        <v>0912-7LEK-F27-Z</v>
      </c>
      <c r="E37" s="266"/>
      <c r="F37" s="267">
        <f>'IV rok'!E47</f>
        <v>7</v>
      </c>
      <c r="G37" s="268"/>
      <c r="H37" s="269">
        <f>'IV rok'!G47</f>
        <v>15</v>
      </c>
      <c r="I37" s="270">
        <f>'IV rok'!H47</f>
        <v>10</v>
      </c>
      <c r="J37" s="270"/>
      <c r="K37" s="270"/>
      <c r="L37" s="270"/>
      <c r="M37" s="270"/>
      <c r="N37" s="270"/>
      <c r="O37" s="270"/>
      <c r="P37" s="268">
        <f>'IV rok'!O47</f>
        <v>1</v>
      </c>
      <c r="Q37" s="269"/>
      <c r="R37" s="270"/>
      <c r="S37" s="270"/>
      <c r="T37" s="270"/>
      <c r="U37" s="270"/>
      <c r="V37" s="270"/>
      <c r="W37" s="270"/>
      <c r="X37" s="270"/>
      <c r="Y37" s="268"/>
      <c r="Z37" s="269">
        <f>'IV rok'!Y47</f>
        <v>15</v>
      </c>
      <c r="AA37" s="270">
        <f>'IV rok'!Z47</f>
        <v>15</v>
      </c>
      <c r="AB37" s="270"/>
      <c r="AC37" s="270"/>
      <c r="AD37" s="270"/>
      <c r="AE37" s="270">
        <f>'IV rok'!AD47</f>
        <v>25</v>
      </c>
      <c r="AF37" s="270">
        <f>'IV rok'!AE47</f>
        <v>1</v>
      </c>
    </row>
    <row r="38" spans="1:32" ht="24.75" customHeight="1">
      <c r="A38" s="630"/>
      <c r="B38" s="270" t="s">
        <v>210</v>
      </c>
      <c r="C38" s="264" t="s">
        <v>330</v>
      </c>
      <c r="D38" s="265" t="str">
        <f>'IV rok'!C48</f>
        <v>0912-7LEK-F32-C</v>
      </c>
      <c r="E38" s="266"/>
      <c r="F38" s="267">
        <v>7</v>
      </c>
      <c r="G38" s="268"/>
      <c r="H38" s="269"/>
      <c r="I38" s="270"/>
      <c r="J38" s="270">
        <v>15</v>
      </c>
      <c r="K38" s="270">
        <v>10</v>
      </c>
      <c r="L38" s="270"/>
      <c r="M38" s="270"/>
      <c r="N38" s="270"/>
      <c r="O38" s="270"/>
      <c r="P38" s="268">
        <v>1</v>
      </c>
      <c r="Q38" s="269"/>
      <c r="R38" s="270"/>
      <c r="S38" s="270"/>
      <c r="T38" s="270"/>
      <c r="U38" s="270"/>
      <c r="V38" s="270"/>
      <c r="W38" s="270"/>
      <c r="X38" s="270"/>
      <c r="Y38" s="268"/>
      <c r="Z38" s="269">
        <v>15</v>
      </c>
      <c r="AA38" s="270">
        <v>0</v>
      </c>
      <c r="AB38" s="270">
        <v>15</v>
      </c>
      <c r="AC38" s="270">
        <v>10</v>
      </c>
      <c r="AD38" s="270"/>
      <c r="AE38" s="270">
        <v>25</v>
      </c>
      <c r="AF38" s="270">
        <v>1</v>
      </c>
    </row>
    <row r="39" spans="1:32" ht="24.75" customHeight="1">
      <c r="A39" s="630"/>
      <c r="B39" s="270" t="s">
        <v>211</v>
      </c>
      <c r="C39" s="264" t="str">
        <f>'IV rok'!B49</f>
        <v>Chirurgia endoskopowa i laparoskopowa</v>
      </c>
      <c r="D39" s="265" t="str">
        <f>'IV rok'!C49</f>
        <v>0912-7LEK-F29-C</v>
      </c>
      <c r="E39" s="266"/>
      <c r="F39" s="267">
        <f>'IV rok'!E49</f>
        <v>8</v>
      </c>
      <c r="G39" s="268"/>
      <c r="H39" s="269"/>
      <c r="I39" s="270"/>
      <c r="J39" s="270"/>
      <c r="K39" s="270"/>
      <c r="L39" s="270"/>
      <c r="M39" s="270"/>
      <c r="N39" s="270"/>
      <c r="O39" s="270"/>
      <c r="P39" s="268"/>
      <c r="Q39" s="269">
        <f>'IV rok'!P49</f>
        <v>15</v>
      </c>
      <c r="R39" s="270">
        <f>'IV rok'!Q49</f>
        <v>10</v>
      </c>
      <c r="S39" s="270"/>
      <c r="T39" s="270"/>
      <c r="U39" s="270"/>
      <c r="V39" s="270"/>
      <c r="W39" s="270"/>
      <c r="X39" s="270"/>
      <c r="Y39" s="268">
        <f>'IV rok'!X49</f>
        <v>1</v>
      </c>
      <c r="Z39" s="269">
        <f>'IV rok'!Y49</f>
        <v>15</v>
      </c>
      <c r="AA39" s="270">
        <f>'IV rok'!Z49</f>
        <v>15</v>
      </c>
      <c r="AB39" s="270"/>
      <c r="AC39" s="270"/>
      <c r="AD39" s="270"/>
      <c r="AE39" s="270">
        <f>'IV rok'!AD49</f>
        <v>25</v>
      </c>
      <c r="AF39" s="270">
        <f>'IV rok'!AE49</f>
        <v>1</v>
      </c>
    </row>
    <row r="40" spans="1:32" ht="24.75" customHeight="1">
      <c r="A40" s="630"/>
      <c r="B40" s="270" t="s">
        <v>254</v>
      </c>
      <c r="C40" s="264" t="str">
        <f>'IV rok'!B50</f>
        <v>Pediatria - kardiologia dziecięca</v>
      </c>
      <c r="D40" s="265" t="str">
        <f>'IV rok'!C50</f>
        <v>0912-7LEK-F30-P</v>
      </c>
      <c r="E40" s="266"/>
      <c r="F40" s="267">
        <f>'IV rok'!E50</f>
        <v>8</v>
      </c>
      <c r="G40" s="268"/>
      <c r="H40" s="269"/>
      <c r="I40" s="270"/>
      <c r="J40" s="270"/>
      <c r="K40" s="270"/>
      <c r="L40" s="270"/>
      <c r="M40" s="270"/>
      <c r="N40" s="270"/>
      <c r="O40" s="270"/>
      <c r="P40" s="268"/>
      <c r="Q40" s="269"/>
      <c r="R40" s="270"/>
      <c r="S40" s="270">
        <v>15</v>
      </c>
      <c r="T40" s="270">
        <v>10</v>
      </c>
      <c r="U40" s="270"/>
      <c r="V40" s="270"/>
      <c r="W40" s="270"/>
      <c r="X40" s="270"/>
      <c r="Y40" s="268">
        <v>1</v>
      </c>
      <c r="Z40" s="269">
        <v>15</v>
      </c>
      <c r="AA40" s="270"/>
      <c r="AB40" s="270">
        <v>15</v>
      </c>
      <c r="AC40" s="270">
        <v>10</v>
      </c>
      <c r="AD40" s="270"/>
      <c r="AE40" s="270">
        <v>25</v>
      </c>
      <c r="AF40" s="270">
        <v>1</v>
      </c>
    </row>
    <row r="41" spans="1:32" ht="24.75" customHeight="1">
      <c r="A41" s="630"/>
      <c r="B41" s="270" t="s">
        <v>212</v>
      </c>
      <c r="C41" s="264" t="str">
        <f>'IV rok'!B51</f>
        <v>Terapia bólu</v>
      </c>
      <c r="D41" s="265" t="str">
        <f>'IV rok'!C51</f>
        <v>0912-7LEK-F31-T</v>
      </c>
      <c r="E41" s="266"/>
      <c r="F41" s="267">
        <f>'IV rok'!E51</f>
        <v>8</v>
      </c>
      <c r="G41" s="268"/>
      <c r="H41" s="269"/>
      <c r="I41" s="270"/>
      <c r="J41" s="270"/>
      <c r="K41" s="270"/>
      <c r="L41" s="270"/>
      <c r="M41" s="270"/>
      <c r="N41" s="270"/>
      <c r="O41" s="270"/>
      <c r="P41" s="268"/>
      <c r="Q41" s="269">
        <f>'IV rok'!P51</f>
        <v>15</v>
      </c>
      <c r="R41" s="270">
        <f>'IV rok'!Q51</f>
        <v>10</v>
      </c>
      <c r="S41" s="270"/>
      <c r="T41" s="270"/>
      <c r="U41" s="270"/>
      <c r="V41" s="270"/>
      <c r="W41" s="270"/>
      <c r="X41" s="270"/>
      <c r="Y41" s="268">
        <f>'IV rok'!X51</f>
        <v>1</v>
      </c>
      <c r="Z41" s="269">
        <f>'IV rok'!Y51</f>
        <v>15</v>
      </c>
      <c r="AA41" s="270">
        <f>'IV rok'!Z51</f>
        <v>15</v>
      </c>
      <c r="AB41" s="270"/>
      <c r="AC41" s="270"/>
      <c r="AD41" s="270"/>
      <c r="AE41" s="270">
        <f>'IV rok'!AD51</f>
        <v>25</v>
      </c>
      <c r="AF41" s="270">
        <f>'IV rok'!AE51</f>
        <v>1</v>
      </c>
    </row>
    <row r="42" spans="1:32" ht="24.75" customHeight="1">
      <c r="A42" s="630"/>
      <c r="B42" s="270" t="s">
        <v>213</v>
      </c>
      <c r="C42" s="264" t="s">
        <v>328</v>
      </c>
      <c r="D42" s="265" t="str">
        <f>'IV rok'!C52</f>
        <v>0912-7LEK-F32-D</v>
      </c>
      <c r="E42" s="266"/>
      <c r="F42" s="267" t="s">
        <v>146</v>
      </c>
      <c r="G42" s="268"/>
      <c r="H42" s="269"/>
      <c r="I42" s="270"/>
      <c r="J42" s="270"/>
      <c r="K42" s="270"/>
      <c r="L42" s="270"/>
      <c r="M42" s="270"/>
      <c r="N42" s="270"/>
      <c r="O42" s="270"/>
      <c r="P42" s="268"/>
      <c r="Q42" s="269"/>
      <c r="R42" s="270"/>
      <c r="S42" s="270">
        <v>15</v>
      </c>
      <c r="T42" s="270">
        <v>10</v>
      </c>
      <c r="U42" s="270"/>
      <c r="V42" s="270"/>
      <c r="W42" s="270"/>
      <c r="X42" s="270"/>
      <c r="Y42" s="268">
        <v>1</v>
      </c>
      <c r="Z42" s="269">
        <v>15</v>
      </c>
      <c r="AA42" s="270"/>
      <c r="AB42" s="270">
        <v>15</v>
      </c>
      <c r="AC42" s="270">
        <v>10</v>
      </c>
      <c r="AD42" s="270"/>
      <c r="AE42" s="270">
        <v>25</v>
      </c>
      <c r="AF42" s="270">
        <v>1</v>
      </c>
    </row>
    <row r="43" spans="1:32" ht="24.75" customHeight="1">
      <c r="A43" s="630"/>
      <c r="B43" s="270" t="s">
        <v>214</v>
      </c>
      <c r="C43" s="264" t="str">
        <f>'IV rok'!B53</f>
        <v>Choroby płuc</v>
      </c>
      <c r="D43" s="265" t="e">
        <f>'IV rok'!#REF!</f>
        <v>#REF!</v>
      </c>
      <c r="E43" s="266"/>
      <c r="F43" s="267">
        <f>'IV rok'!E53</f>
        <v>8</v>
      </c>
      <c r="G43" s="268"/>
      <c r="H43" s="269"/>
      <c r="I43" s="270"/>
      <c r="J43" s="270">
        <v>15</v>
      </c>
      <c r="K43" s="270">
        <v>10</v>
      </c>
      <c r="L43" s="270"/>
      <c r="M43" s="270"/>
      <c r="N43" s="270"/>
      <c r="O43" s="270"/>
      <c r="P43" s="268">
        <v>1</v>
      </c>
      <c r="Q43" s="269"/>
      <c r="R43" s="270"/>
      <c r="S43" s="270"/>
      <c r="T43" s="270"/>
      <c r="U43" s="270"/>
      <c r="V43" s="270"/>
      <c r="W43" s="270"/>
      <c r="X43" s="270"/>
      <c r="Y43" s="268"/>
      <c r="Z43" s="269">
        <v>15</v>
      </c>
      <c r="AA43" s="270"/>
      <c r="AB43" s="270">
        <v>15</v>
      </c>
      <c r="AC43" s="270">
        <v>10</v>
      </c>
      <c r="AD43" s="270"/>
      <c r="AE43" s="270">
        <v>25</v>
      </c>
      <c r="AF43" s="270">
        <v>1</v>
      </c>
    </row>
    <row r="44" spans="1:32" ht="24.75" customHeight="1">
      <c r="A44" s="630"/>
      <c r="B44" s="270" t="s">
        <v>215</v>
      </c>
      <c r="C44" s="264" t="str">
        <f>'IV rok'!B54</f>
        <v>Chirurgia naczyniowa</v>
      </c>
      <c r="D44" s="265" t="str">
        <f>'IV rok'!C53</f>
        <v>0912-7LEK-F34-C</v>
      </c>
      <c r="E44" s="266"/>
      <c r="F44" s="267">
        <f>'IV rok'!E54</f>
        <v>8</v>
      </c>
      <c r="G44" s="268"/>
      <c r="H44" s="269"/>
      <c r="I44" s="270"/>
      <c r="J44" s="270"/>
      <c r="K44" s="270"/>
      <c r="L44" s="270"/>
      <c r="M44" s="270"/>
      <c r="N44" s="270"/>
      <c r="O44" s="270"/>
      <c r="P44" s="268"/>
      <c r="Q44" s="269">
        <f>'IV rok'!P54</f>
        <v>15</v>
      </c>
      <c r="R44" s="270">
        <f>'IV rok'!Q54</f>
        <v>10</v>
      </c>
      <c r="S44" s="270"/>
      <c r="T44" s="270"/>
      <c r="U44" s="270"/>
      <c r="V44" s="270"/>
      <c r="W44" s="270"/>
      <c r="X44" s="270"/>
      <c r="Y44" s="268">
        <f>'IV rok'!X54</f>
        <v>1</v>
      </c>
      <c r="Z44" s="269">
        <f>'IV rok'!Y54</f>
        <v>15</v>
      </c>
      <c r="AA44" s="270">
        <f>'IV rok'!Z54</f>
        <v>15</v>
      </c>
      <c r="AB44" s="270"/>
      <c r="AC44" s="270"/>
      <c r="AD44" s="270"/>
      <c r="AE44" s="270">
        <f>'IV rok'!AD54</f>
        <v>25</v>
      </c>
      <c r="AF44" s="270">
        <f>'IV rok'!AE54</f>
        <v>1</v>
      </c>
    </row>
    <row r="45" spans="1:32" ht="24.75" customHeight="1">
      <c r="A45" s="630"/>
      <c r="B45" s="270" t="s">
        <v>216</v>
      </c>
      <c r="C45" s="264" t="str">
        <f>'IV rok'!B55</f>
        <v>Endokrynologia dziecięca</v>
      </c>
      <c r="D45" s="265" t="str">
        <f>'IV rok'!C54</f>
        <v>0912-7LEK-F35-C</v>
      </c>
      <c r="E45" s="266"/>
      <c r="F45" s="267">
        <f>'IV rok'!E55</f>
        <v>8</v>
      </c>
      <c r="G45" s="268"/>
      <c r="H45" s="269">
        <v>15</v>
      </c>
      <c r="I45" s="270">
        <v>10</v>
      </c>
      <c r="J45" s="270"/>
      <c r="K45" s="270"/>
      <c r="L45" s="270"/>
      <c r="M45" s="270"/>
      <c r="N45" s="270"/>
      <c r="O45" s="270"/>
      <c r="P45" s="268"/>
      <c r="Q45" s="269"/>
      <c r="R45" s="270"/>
      <c r="S45" s="270"/>
      <c r="T45" s="270"/>
      <c r="U45" s="270"/>
      <c r="V45" s="270"/>
      <c r="W45" s="270"/>
      <c r="X45" s="270"/>
      <c r="Y45" s="268">
        <v>1</v>
      </c>
      <c r="Z45" s="269">
        <v>15</v>
      </c>
      <c r="AA45" s="270">
        <v>15</v>
      </c>
      <c r="AB45" s="270"/>
      <c r="AC45" s="270"/>
      <c r="AD45" s="270"/>
      <c r="AE45" s="270">
        <v>25</v>
      </c>
      <c r="AF45" s="270">
        <v>1</v>
      </c>
    </row>
    <row r="46" spans="1:32" ht="24.75" customHeight="1">
      <c r="A46" s="631" t="s">
        <v>163</v>
      </c>
      <c r="B46" s="611" t="str">
        <f>'V rok'!A51</f>
        <v>* Zajęcia fakultatywne (student wybiera z grupy 20 przedmiotów: 2 przedmioty w 9 semestrze oraz 1 przedmiot w 10 semestrze )</v>
      </c>
      <c r="C46" s="612"/>
      <c r="D46" s="612"/>
      <c r="E46" s="612"/>
      <c r="F46" s="612"/>
      <c r="G46" s="612"/>
      <c r="H46" s="612"/>
      <c r="I46" s="612"/>
      <c r="J46" s="612"/>
      <c r="K46" s="612"/>
      <c r="L46" s="612"/>
      <c r="M46" s="612"/>
      <c r="N46" s="612"/>
      <c r="O46" s="612"/>
      <c r="P46" s="612"/>
      <c r="Q46" s="612"/>
      <c r="R46" s="612"/>
      <c r="S46" s="612"/>
      <c r="T46" s="612"/>
      <c r="U46" s="612"/>
      <c r="V46" s="612"/>
      <c r="W46" s="612"/>
      <c r="X46" s="612"/>
      <c r="Y46" s="612"/>
      <c r="Z46" s="612"/>
      <c r="AA46" s="612"/>
      <c r="AB46" s="612"/>
      <c r="AC46" s="612"/>
      <c r="AD46" s="612"/>
      <c r="AE46" s="612"/>
      <c r="AF46" s="613"/>
    </row>
    <row r="47" spans="1:32" ht="24.75" customHeight="1">
      <c r="A47" s="632"/>
      <c r="B47" s="270" t="s">
        <v>217</v>
      </c>
      <c r="C47" s="264" t="str">
        <f>'V rok'!B52</f>
        <v>Hipertensjologia</v>
      </c>
      <c r="D47" s="265" t="str">
        <f>'V rok'!C52</f>
        <v>0912-7LEK-F37-H</v>
      </c>
      <c r="E47" s="266"/>
      <c r="F47" s="267">
        <f>'V rok'!E52</f>
        <v>9</v>
      </c>
      <c r="G47" s="268"/>
      <c r="H47" s="269">
        <f>'V rok'!G52</f>
        <v>10</v>
      </c>
      <c r="I47" s="270">
        <f>'V rok'!H52</f>
        <v>15</v>
      </c>
      <c r="J47" s="270">
        <f>'V rok'!I52</f>
        <v>15</v>
      </c>
      <c r="K47" s="270">
        <f>'V rok'!J52</f>
        <v>10</v>
      </c>
      <c r="L47" s="270"/>
      <c r="M47" s="270"/>
      <c r="N47" s="270"/>
      <c r="O47" s="270"/>
      <c r="P47" s="268">
        <f>'V rok'!O52</f>
        <v>2</v>
      </c>
      <c r="Q47" s="269"/>
      <c r="R47" s="270"/>
      <c r="S47" s="270"/>
      <c r="T47" s="270"/>
      <c r="U47" s="270"/>
      <c r="V47" s="270"/>
      <c r="W47" s="270"/>
      <c r="X47" s="270"/>
      <c r="Y47" s="268"/>
      <c r="Z47" s="269">
        <f>'V rok'!Y52</f>
        <v>25</v>
      </c>
      <c r="AA47" s="270">
        <f>'V rok'!Z52</f>
        <v>10</v>
      </c>
      <c r="AB47" s="270">
        <f>'V rok'!AA52</f>
        <v>15</v>
      </c>
      <c r="AC47" s="270"/>
      <c r="AD47" s="270"/>
      <c r="AE47" s="270">
        <f>'V rok'!AD52</f>
        <v>50</v>
      </c>
      <c r="AF47" s="270">
        <f>'V rok'!AE52</f>
        <v>2</v>
      </c>
    </row>
    <row r="48" spans="1:32" ht="24.75" customHeight="1">
      <c r="A48" s="632"/>
      <c r="B48" s="270" t="s">
        <v>218</v>
      </c>
      <c r="C48" s="264" t="str">
        <f>'V rok'!B53</f>
        <v>Gastroenterologia dziecięca</v>
      </c>
      <c r="D48" s="265" t="str">
        <f>'V rok'!C53</f>
        <v>0912-7LEK-F38-G</v>
      </c>
      <c r="E48" s="266"/>
      <c r="F48" s="267">
        <f>'V rok'!E53</f>
        <v>9</v>
      </c>
      <c r="G48" s="268"/>
      <c r="H48" s="269">
        <f>'V rok'!G53</f>
        <v>10</v>
      </c>
      <c r="I48" s="270">
        <f>'V rok'!H53</f>
        <v>15</v>
      </c>
      <c r="J48" s="270">
        <f>'V rok'!I53</f>
        <v>15</v>
      </c>
      <c r="K48" s="270">
        <f>'V rok'!J53</f>
        <v>10</v>
      </c>
      <c r="L48" s="270"/>
      <c r="M48" s="270"/>
      <c r="N48" s="270"/>
      <c r="O48" s="270"/>
      <c r="P48" s="268">
        <f>'V rok'!O53</f>
        <v>2</v>
      </c>
      <c r="Q48" s="269"/>
      <c r="R48" s="270"/>
      <c r="S48" s="270"/>
      <c r="T48" s="270"/>
      <c r="U48" s="270"/>
      <c r="V48" s="270"/>
      <c r="W48" s="270"/>
      <c r="X48" s="270"/>
      <c r="Y48" s="268"/>
      <c r="Z48" s="269">
        <f>'V rok'!Y53</f>
        <v>25</v>
      </c>
      <c r="AA48" s="270">
        <f>'V rok'!Z53</f>
        <v>10</v>
      </c>
      <c r="AB48" s="270">
        <f>'V rok'!AA53</f>
        <v>15</v>
      </c>
      <c r="AC48" s="270"/>
      <c r="AD48" s="270"/>
      <c r="AE48" s="270">
        <f>'V rok'!AD53</f>
        <v>50</v>
      </c>
      <c r="AF48" s="270">
        <f>'V rok'!AE53</f>
        <v>2</v>
      </c>
    </row>
    <row r="49" spans="1:32" ht="24.75" customHeight="1">
      <c r="A49" s="632"/>
      <c r="B49" s="270" t="s">
        <v>219</v>
      </c>
      <c r="C49" s="264" t="str">
        <f>'V rok'!B54</f>
        <v>Alergologia</v>
      </c>
      <c r="D49" s="265" t="str">
        <f>'V rok'!C54</f>
        <v>0912-7LEK-F39-A</v>
      </c>
      <c r="E49" s="266"/>
      <c r="F49" s="267">
        <f>'V rok'!E54</f>
        <v>9</v>
      </c>
      <c r="G49" s="268"/>
      <c r="H49" s="269">
        <f>'V rok'!G54</f>
        <v>10</v>
      </c>
      <c r="I49" s="270">
        <f>'V rok'!H54</f>
        <v>15</v>
      </c>
      <c r="J49" s="270">
        <f>'V rok'!I54</f>
        <v>15</v>
      </c>
      <c r="K49" s="270">
        <f>'V rok'!J54</f>
        <v>10</v>
      </c>
      <c r="L49" s="270"/>
      <c r="M49" s="270"/>
      <c r="N49" s="270"/>
      <c r="O49" s="270"/>
      <c r="P49" s="268">
        <f>'V rok'!O54</f>
        <v>2</v>
      </c>
      <c r="Q49" s="269"/>
      <c r="R49" s="270"/>
      <c r="S49" s="270"/>
      <c r="T49" s="270"/>
      <c r="U49" s="270"/>
      <c r="V49" s="270"/>
      <c r="W49" s="270"/>
      <c r="X49" s="270"/>
      <c r="Y49" s="268"/>
      <c r="Z49" s="269">
        <f>'V rok'!Y54</f>
        <v>25</v>
      </c>
      <c r="AA49" s="270">
        <f>'V rok'!Z54</f>
        <v>10</v>
      </c>
      <c r="AB49" s="270">
        <f>'V rok'!AA54</f>
        <v>15</v>
      </c>
      <c r="AC49" s="270"/>
      <c r="AD49" s="270"/>
      <c r="AE49" s="270">
        <f>'V rok'!AD54</f>
        <v>50</v>
      </c>
      <c r="AF49" s="270">
        <f>'V rok'!AE54</f>
        <v>2</v>
      </c>
    </row>
    <row r="50" spans="1:32" ht="24.75" customHeight="1">
      <c r="A50" s="632"/>
      <c r="B50" s="270" t="s">
        <v>220</v>
      </c>
      <c r="C50" s="264" t="str">
        <f>'V rok'!B55</f>
        <v>Kardiologia interwencyjna</v>
      </c>
      <c r="D50" s="265" t="str">
        <f>'V rok'!C55</f>
        <v>0912-7LEK-F40-K</v>
      </c>
      <c r="E50" s="266"/>
      <c r="F50" s="267">
        <f>'V rok'!E55</f>
        <v>9</v>
      </c>
      <c r="G50" s="268"/>
      <c r="H50" s="269">
        <f>'V rok'!G55</f>
        <v>10</v>
      </c>
      <c r="I50" s="270">
        <f>'V rok'!H55</f>
        <v>15</v>
      </c>
      <c r="J50" s="270">
        <f>'V rok'!I55</f>
        <v>15</v>
      </c>
      <c r="K50" s="270">
        <f>'V rok'!J55</f>
        <v>10</v>
      </c>
      <c r="L50" s="270"/>
      <c r="M50" s="270"/>
      <c r="N50" s="270"/>
      <c r="O50" s="270"/>
      <c r="P50" s="268">
        <f>'V rok'!O55</f>
        <v>2</v>
      </c>
      <c r="Q50" s="269"/>
      <c r="R50" s="270"/>
      <c r="S50" s="270"/>
      <c r="T50" s="270"/>
      <c r="U50" s="270"/>
      <c r="V50" s="270"/>
      <c r="W50" s="270"/>
      <c r="X50" s="270"/>
      <c r="Y50" s="268"/>
      <c r="Z50" s="269">
        <f>'V rok'!Y55</f>
        <v>25</v>
      </c>
      <c r="AA50" s="270">
        <f>'V rok'!Z55</f>
        <v>10</v>
      </c>
      <c r="AB50" s="270">
        <f>'V rok'!AA55</f>
        <v>15</v>
      </c>
      <c r="AC50" s="270"/>
      <c r="AD50" s="270"/>
      <c r="AE50" s="270">
        <f>'V rok'!AD55</f>
        <v>50</v>
      </c>
      <c r="AF50" s="270">
        <f>'V rok'!AE55</f>
        <v>2</v>
      </c>
    </row>
    <row r="51" spans="1:32" ht="24.75" customHeight="1">
      <c r="A51" s="632"/>
      <c r="B51" s="270" t="s">
        <v>221</v>
      </c>
      <c r="C51" s="264" t="str">
        <f>'V rok'!B56</f>
        <v>Żywienie kliniczne</v>
      </c>
      <c r="D51" s="265" t="str">
        <f>'V rok'!C56</f>
        <v>0912-7LEK-F41-Ż</v>
      </c>
      <c r="E51" s="266"/>
      <c r="F51" s="267">
        <f>'V rok'!E56</f>
        <v>9</v>
      </c>
      <c r="G51" s="268"/>
      <c r="H51" s="269">
        <f>'V rok'!G56</f>
        <v>10</v>
      </c>
      <c r="I51" s="270">
        <f>'V rok'!H56</f>
        <v>15</v>
      </c>
      <c r="J51" s="270">
        <f>'V rok'!I56</f>
        <v>15</v>
      </c>
      <c r="K51" s="270">
        <f>'V rok'!J56</f>
        <v>10</v>
      </c>
      <c r="L51" s="270"/>
      <c r="M51" s="270"/>
      <c r="N51" s="270"/>
      <c r="O51" s="270"/>
      <c r="P51" s="268">
        <f>'V rok'!O56</f>
        <v>2</v>
      </c>
      <c r="Q51" s="269"/>
      <c r="R51" s="270"/>
      <c r="S51" s="270"/>
      <c r="T51" s="270"/>
      <c r="U51" s="270"/>
      <c r="V51" s="270"/>
      <c r="W51" s="270"/>
      <c r="X51" s="270"/>
      <c r="Y51" s="268"/>
      <c r="Z51" s="269">
        <f>'V rok'!Y56</f>
        <v>25</v>
      </c>
      <c r="AA51" s="270">
        <f>'V rok'!Z56</f>
        <v>10</v>
      </c>
      <c r="AB51" s="270">
        <f>'V rok'!AA56</f>
        <v>15</v>
      </c>
      <c r="AC51" s="270"/>
      <c r="AD51" s="270"/>
      <c r="AE51" s="270">
        <f>'V rok'!AD56</f>
        <v>50</v>
      </c>
      <c r="AF51" s="270">
        <f>'V rok'!AE56</f>
        <v>2</v>
      </c>
    </row>
    <row r="52" spans="1:32" ht="24.75" customHeight="1">
      <c r="A52" s="632"/>
      <c r="B52" s="270" t="s">
        <v>222</v>
      </c>
      <c r="C52" s="264" t="str">
        <f>'V rok'!B57</f>
        <v>Anastezjologia i intensywna terapia dziecięca</v>
      </c>
      <c r="D52" s="265" t="str">
        <f>'V rok'!C57</f>
        <v>0912-7LEK-F42-A</v>
      </c>
      <c r="E52" s="266"/>
      <c r="F52" s="267">
        <f>'V rok'!E57</f>
        <v>9</v>
      </c>
      <c r="G52" s="268"/>
      <c r="H52" s="269">
        <f>'V rok'!G57</f>
        <v>10</v>
      </c>
      <c r="I52" s="270">
        <f>'V rok'!H57</f>
        <v>15</v>
      </c>
      <c r="J52" s="270">
        <f>'V rok'!I57</f>
        <v>15</v>
      </c>
      <c r="K52" s="270">
        <f>'V rok'!J57</f>
        <v>10</v>
      </c>
      <c r="L52" s="270"/>
      <c r="M52" s="270"/>
      <c r="N52" s="270"/>
      <c r="O52" s="270"/>
      <c r="P52" s="268">
        <f>'V rok'!O57</f>
        <v>2</v>
      </c>
      <c r="Q52" s="269"/>
      <c r="R52" s="270"/>
      <c r="S52" s="270"/>
      <c r="T52" s="270"/>
      <c r="U52" s="270"/>
      <c r="V52" s="270"/>
      <c r="W52" s="270"/>
      <c r="X52" s="270"/>
      <c r="Y52" s="268"/>
      <c r="Z52" s="269">
        <f>'V rok'!Y57</f>
        <v>25</v>
      </c>
      <c r="AA52" s="270">
        <f>'V rok'!Z57</f>
        <v>10</v>
      </c>
      <c r="AB52" s="270">
        <f>'V rok'!AA57</f>
        <v>15</v>
      </c>
      <c r="AC52" s="270"/>
      <c r="AD52" s="270"/>
      <c r="AE52" s="270">
        <f>'V rok'!AD57</f>
        <v>50</v>
      </c>
      <c r="AF52" s="270">
        <f>'V rok'!AE57</f>
        <v>2</v>
      </c>
    </row>
    <row r="53" spans="1:32" ht="24.75" customHeight="1">
      <c r="A53" s="632"/>
      <c r="B53" s="270" t="s">
        <v>223</v>
      </c>
      <c r="C53" s="264" t="str">
        <f>'V rok'!B58</f>
        <v>Leczenie skojarzone</v>
      </c>
      <c r="D53" s="265" t="str">
        <f>'V rok'!C58</f>
        <v>0912-7LEK-F43-L</v>
      </c>
      <c r="E53" s="266"/>
      <c r="F53" s="267">
        <f>'V rok'!E58</f>
        <v>9</v>
      </c>
      <c r="G53" s="268"/>
      <c r="H53" s="269">
        <f>'V rok'!G58</f>
        <v>10</v>
      </c>
      <c r="I53" s="270">
        <f>'V rok'!H58</f>
        <v>15</v>
      </c>
      <c r="J53" s="270">
        <f>'V rok'!I58</f>
        <v>15</v>
      </c>
      <c r="K53" s="270">
        <f>'V rok'!J58</f>
        <v>10</v>
      </c>
      <c r="L53" s="270"/>
      <c r="M53" s="270"/>
      <c r="N53" s="270"/>
      <c r="O53" s="270"/>
      <c r="P53" s="268">
        <f>'V rok'!O58</f>
        <v>2</v>
      </c>
      <c r="Q53" s="269"/>
      <c r="R53" s="270"/>
      <c r="S53" s="270"/>
      <c r="T53" s="270"/>
      <c r="U53" s="270"/>
      <c r="V53" s="270"/>
      <c r="W53" s="270"/>
      <c r="X53" s="270"/>
      <c r="Y53" s="268"/>
      <c r="Z53" s="269">
        <f>'V rok'!Y58</f>
        <v>25</v>
      </c>
      <c r="AA53" s="270">
        <f>'V rok'!Z58</f>
        <v>10</v>
      </c>
      <c r="AB53" s="270">
        <f>'V rok'!AA58</f>
        <v>15</v>
      </c>
      <c r="AC53" s="270"/>
      <c r="AD53" s="270"/>
      <c r="AE53" s="270">
        <f>'V rok'!AD58</f>
        <v>50</v>
      </c>
      <c r="AF53" s="270">
        <f>'V rok'!AE58</f>
        <v>2</v>
      </c>
    </row>
    <row r="54" spans="1:32" ht="24.75" customHeight="1">
      <c r="A54" s="632"/>
      <c r="B54" s="270" t="s">
        <v>224</v>
      </c>
      <c r="C54" s="264" t="str">
        <f>'V rok'!B59</f>
        <v>Elektrokardiografia</v>
      </c>
      <c r="D54" s="265" t="str">
        <f>'V rok'!C59</f>
        <v>0912-7LEK-F44-E</v>
      </c>
      <c r="E54" s="266"/>
      <c r="F54" s="267">
        <f>'V rok'!E59</f>
        <v>9</v>
      </c>
      <c r="G54" s="268"/>
      <c r="H54" s="269">
        <f>'V rok'!G59</f>
        <v>10</v>
      </c>
      <c r="I54" s="270">
        <f>'V rok'!H59</f>
        <v>15</v>
      </c>
      <c r="J54" s="270">
        <f>'V rok'!I59</f>
        <v>15</v>
      </c>
      <c r="K54" s="270">
        <f>'V rok'!J59</f>
        <v>10</v>
      </c>
      <c r="L54" s="270"/>
      <c r="M54" s="270"/>
      <c r="N54" s="270"/>
      <c r="O54" s="270"/>
      <c r="P54" s="268">
        <f>'V rok'!O59</f>
        <v>2</v>
      </c>
      <c r="Q54" s="269"/>
      <c r="R54" s="270"/>
      <c r="S54" s="270"/>
      <c r="T54" s="270"/>
      <c r="U54" s="270"/>
      <c r="V54" s="270"/>
      <c r="W54" s="270"/>
      <c r="X54" s="270"/>
      <c r="Y54" s="268"/>
      <c r="Z54" s="269">
        <f>'V rok'!Y59</f>
        <v>25</v>
      </c>
      <c r="AA54" s="270">
        <f>'V rok'!Z59</f>
        <v>10</v>
      </c>
      <c r="AB54" s="270">
        <f>'V rok'!AA59</f>
        <v>15</v>
      </c>
      <c r="AC54" s="270"/>
      <c r="AD54" s="270"/>
      <c r="AE54" s="270">
        <f>'V rok'!AD59</f>
        <v>50</v>
      </c>
      <c r="AF54" s="270">
        <f>'V rok'!AE59</f>
        <v>2</v>
      </c>
    </row>
    <row r="55" spans="1:32" ht="24.75" customHeight="1">
      <c r="A55" s="632"/>
      <c r="B55" s="270" t="s">
        <v>225</v>
      </c>
      <c r="C55" s="264" t="str">
        <f>'V rok'!B60</f>
        <v>Traumatologia dziecięca</v>
      </c>
      <c r="D55" s="265" t="str">
        <f>'V rok'!C60</f>
        <v>0912-7LEK-F45-T</v>
      </c>
      <c r="E55" s="266"/>
      <c r="F55" s="267">
        <f>'V rok'!E60</f>
        <v>9</v>
      </c>
      <c r="G55" s="268"/>
      <c r="H55" s="269">
        <f>'V rok'!G60</f>
        <v>10</v>
      </c>
      <c r="I55" s="270">
        <f>'V rok'!H60</f>
        <v>15</v>
      </c>
      <c r="J55" s="270">
        <f>'V rok'!I60</f>
        <v>15</v>
      </c>
      <c r="K55" s="270">
        <f>'V rok'!J60</f>
        <v>10</v>
      </c>
      <c r="L55" s="270"/>
      <c r="M55" s="270"/>
      <c r="N55" s="270"/>
      <c r="O55" s="270"/>
      <c r="P55" s="268">
        <f>'V rok'!O60</f>
        <v>2</v>
      </c>
      <c r="Q55" s="269"/>
      <c r="R55" s="270"/>
      <c r="S55" s="270"/>
      <c r="T55" s="270"/>
      <c r="U55" s="270"/>
      <c r="V55" s="270"/>
      <c r="W55" s="270"/>
      <c r="X55" s="270"/>
      <c r="Y55" s="268"/>
      <c r="Z55" s="269">
        <f>'V rok'!Y60</f>
        <v>25</v>
      </c>
      <c r="AA55" s="270">
        <f>'V rok'!Z60</f>
        <v>10</v>
      </c>
      <c r="AB55" s="270">
        <f>'V rok'!AA60</f>
        <v>15</v>
      </c>
      <c r="AC55" s="270"/>
      <c r="AD55" s="270"/>
      <c r="AE55" s="270">
        <f>'V rok'!AD60</f>
        <v>50</v>
      </c>
      <c r="AF55" s="270">
        <f>'V rok'!AE60</f>
        <v>2</v>
      </c>
    </row>
    <row r="56" spans="1:32" ht="24.75" customHeight="1">
      <c r="A56" s="632"/>
      <c r="B56" s="270" t="s">
        <v>226</v>
      </c>
      <c r="C56" s="264" t="str">
        <f>'V rok'!B61</f>
        <v>Diagnostyka obrazowa w stanach nagłych</v>
      </c>
      <c r="D56" s="265" t="str">
        <f>'V rok'!C61</f>
        <v>0912-7LEK-F46-D</v>
      </c>
      <c r="E56" s="266"/>
      <c r="F56" s="267">
        <f>'V rok'!E61</f>
        <v>9</v>
      </c>
      <c r="G56" s="268"/>
      <c r="H56" s="269">
        <f>'V rok'!G61</f>
        <v>10</v>
      </c>
      <c r="I56" s="270">
        <f>'V rok'!H61</f>
        <v>15</v>
      </c>
      <c r="J56" s="270">
        <f>'V rok'!I61</f>
        <v>15</v>
      </c>
      <c r="K56" s="270">
        <f>'V rok'!J61</f>
        <v>10</v>
      </c>
      <c r="L56" s="270"/>
      <c r="M56" s="270"/>
      <c r="N56" s="270"/>
      <c r="O56" s="270"/>
      <c r="P56" s="268">
        <f>'V rok'!O61</f>
        <v>2</v>
      </c>
      <c r="Q56" s="269"/>
      <c r="R56" s="270"/>
      <c r="S56" s="270"/>
      <c r="T56" s="270"/>
      <c r="U56" s="270"/>
      <c r="V56" s="270"/>
      <c r="W56" s="270"/>
      <c r="X56" s="270"/>
      <c r="Y56" s="268"/>
      <c r="Z56" s="269">
        <f>'V rok'!Y61</f>
        <v>25</v>
      </c>
      <c r="AA56" s="270">
        <f>'V rok'!Z61</f>
        <v>10</v>
      </c>
      <c r="AB56" s="270">
        <f>'V rok'!AA61</f>
        <v>15</v>
      </c>
      <c r="AC56" s="270"/>
      <c r="AD56" s="270"/>
      <c r="AE56" s="270">
        <f>'V rok'!AD61</f>
        <v>50</v>
      </c>
      <c r="AF56" s="270">
        <f>'V rok'!AE61</f>
        <v>2</v>
      </c>
    </row>
    <row r="57" spans="1:32" ht="24.75" customHeight="1">
      <c r="A57" s="632"/>
      <c r="B57" s="270" t="s">
        <v>227</v>
      </c>
      <c r="C57" s="264" t="str">
        <f>'V rok'!B62</f>
        <v>Radioterapia</v>
      </c>
      <c r="D57" s="265" t="str">
        <f>'V rok'!C62</f>
        <v>0912-7LEK-F47-R</v>
      </c>
      <c r="E57" s="266"/>
      <c r="F57" s="267">
        <f>'V rok'!E62</f>
        <v>9</v>
      </c>
      <c r="G57" s="268"/>
      <c r="H57" s="269">
        <f>'V rok'!G62</f>
        <v>10</v>
      </c>
      <c r="I57" s="270">
        <f>'V rok'!H62</f>
        <v>15</v>
      </c>
      <c r="J57" s="270">
        <f>'V rok'!I62</f>
        <v>15</v>
      </c>
      <c r="K57" s="270">
        <f>'V rok'!J62</f>
        <v>10</v>
      </c>
      <c r="L57" s="270"/>
      <c r="M57" s="270"/>
      <c r="N57" s="270"/>
      <c r="O57" s="270"/>
      <c r="P57" s="268">
        <f>'V rok'!O62</f>
        <v>2</v>
      </c>
      <c r="Q57" s="269"/>
      <c r="R57" s="270"/>
      <c r="S57" s="270"/>
      <c r="T57" s="270"/>
      <c r="U57" s="270"/>
      <c r="V57" s="270"/>
      <c r="W57" s="270"/>
      <c r="X57" s="270"/>
      <c r="Y57" s="268"/>
      <c r="Z57" s="269">
        <f>'V rok'!Y62</f>
        <v>25</v>
      </c>
      <c r="AA57" s="270">
        <f>'V rok'!Z62</f>
        <v>10</v>
      </c>
      <c r="AB57" s="270">
        <f>'V rok'!AA62</f>
        <v>15</v>
      </c>
      <c r="AC57" s="270"/>
      <c r="AD57" s="270"/>
      <c r="AE57" s="270">
        <f>'V rok'!AD62</f>
        <v>50</v>
      </c>
      <c r="AF57" s="270">
        <f>'V rok'!AE62</f>
        <v>2</v>
      </c>
    </row>
    <row r="58" spans="1:32" ht="24.75" customHeight="1" thickBot="1">
      <c r="A58" s="632"/>
      <c r="B58" s="270" t="s">
        <v>228</v>
      </c>
      <c r="C58" s="264" t="str">
        <f>'V rok'!B63</f>
        <v>Znaczenie profili genetycznych w leczeniu onkologicznym</v>
      </c>
      <c r="D58" s="265" t="str">
        <f>'V rok'!C63</f>
        <v>0912-7LEK-F48-Z</v>
      </c>
      <c r="E58" s="266"/>
      <c r="F58" s="267">
        <f>'V rok'!E63</f>
        <v>9</v>
      </c>
      <c r="G58" s="268"/>
      <c r="H58" s="269">
        <f>'V rok'!G63</f>
        <v>10</v>
      </c>
      <c r="I58" s="270">
        <f>'V rok'!H63</f>
        <v>15</v>
      </c>
      <c r="J58" s="270">
        <f>'V rok'!I63</f>
        <v>15</v>
      </c>
      <c r="K58" s="270">
        <f>'V rok'!J63</f>
        <v>10</v>
      </c>
      <c r="L58" s="270"/>
      <c r="M58" s="270"/>
      <c r="N58" s="270"/>
      <c r="O58" s="270"/>
      <c r="P58" s="268">
        <f>'V rok'!O63</f>
        <v>2</v>
      </c>
      <c r="Q58" s="269"/>
      <c r="R58" s="270"/>
      <c r="S58" s="270"/>
      <c r="T58" s="270"/>
      <c r="U58" s="270"/>
      <c r="V58" s="270"/>
      <c r="W58" s="270"/>
      <c r="X58" s="270"/>
      <c r="Y58" s="268"/>
      <c r="Z58" s="269">
        <f>'V rok'!Y63</f>
        <v>25</v>
      </c>
      <c r="AA58" s="270">
        <f>'V rok'!Z63</f>
        <v>10</v>
      </c>
      <c r="AB58" s="270">
        <f>'V rok'!AA63</f>
        <v>15</v>
      </c>
      <c r="AC58" s="270"/>
      <c r="AD58" s="270"/>
      <c r="AE58" s="270">
        <f>'V rok'!AD63</f>
        <v>50</v>
      </c>
      <c r="AF58" s="270">
        <f>'V rok'!AE63</f>
        <v>2</v>
      </c>
    </row>
    <row r="59" spans="1:32" ht="24.75" customHeight="1">
      <c r="A59" s="632"/>
      <c r="B59" s="270" t="s">
        <v>229</v>
      </c>
      <c r="C59" s="307" t="str">
        <f>'V rok'!B64</f>
        <v>Psychiatria dorosłych</v>
      </c>
      <c r="D59" s="308" t="str">
        <f>'V rok'!C64</f>
        <v>0912-7LEK-F49-P</v>
      </c>
      <c r="E59" s="309"/>
      <c r="F59" s="310">
        <f>'V rok'!E64</f>
        <v>9</v>
      </c>
      <c r="G59" s="311"/>
      <c r="H59" s="312"/>
      <c r="I59" s="313"/>
      <c r="J59" s="313">
        <v>15</v>
      </c>
      <c r="K59" s="313">
        <v>10</v>
      </c>
      <c r="L59" s="313"/>
      <c r="M59" s="313"/>
      <c r="N59" s="313"/>
      <c r="O59" s="313"/>
      <c r="P59" s="314">
        <v>1</v>
      </c>
      <c r="Q59" s="309"/>
      <c r="R59" s="313"/>
      <c r="S59" s="313"/>
      <c r="T59" s="313"/>
      <c r="U59" s="313"/>
      <c r="V59" s="313"/>
      <c r="W59" s="313"/>
      <c r="X59" s="313"/>
      <c r="Y59" s="311"/>
      <c r="Z59" s="312">
        <v>15</v>
      </c>
      <c r="AA59" s="313"/>
      <c r="AB59" s="313">
        <v>15</v>
      </c>
      <c r="AC59" s="313"/>
      <c r="AD59" s="313"/>
      <c r="AE59" s="313">
        <v>25</v>
      </c>
      <c r="AF59" s="313">
        <v>1</v>
      </c>
    </row>
    <row r="60" spans="1:32" ht="24.75" customHeight="1">
      <c r="A60" s="632"/>
      <c r="B60" s="270" t="s">
        <v>230</v>
      </c>
      <c r="C60" s="264" t="str">
        <f>'V rok'!B65</f>
        <v>Metodyka pisania prac naukowych</v>
      </c>
      <c r="D60" s="265" t="str">
        <f>'V rok'!C65</f>
        <v>0912-7LEK-F50-M</v>
      </c>
      <c r="E60" s="266"/>
      <c r="F60" s="267">
        <f>'V rok'!E65</f>
        <v>9</v>
      </c>
      <c r="G60" s="268"/>
      <c r="H60" s="269"/>
      <c r="I60" s="270"/>
      <c r="J60" s="270">
        <v>15</v>
      </c>
      <c r="K60" s="270">
        <v>10</v>
      </c>
      <c r="L60" s="270"/>
      <c r="M60" s="270"/>
      <c r="N60" s="270"/>
      <c r="O60" s="270"/>
      <c r="P60" s="279">
        <v>1</v>
      </c>
      <c r="Q60" s="266"/>
      <c r="R60" s="270"/>
      <c r="S60" s="270"/>
      <c r="T60" s="270"/>
      <c r="U60" s="270"/>
      <c r="V60" s="270"/>
      <c r="W60" s="270"/>
      <c r="X60" s="270"/>
      <c r="Y60" s="268"/>
      <c r="Z60" s="269">
        <v>15</v>
      </c>
      <c r="AA60" s="270"/>
      <c r="AB60" s="270">
        <v>15</v>
      </c>
      <c r="AC60" s="270"/>
      <c r="AD60" s="270"/>
      <c r="AE60" s="270">
        <v>25</v>
      </c>
      <c r="AF60" s="270">
        <v>1</v>
      </c>
    </row>
    <row r="61" spans="1:32" ht="24.75" customHeight="1">
      <c r="A61" s="632"/>
      <c r="B61" s="270" t="s">
        <v>231</v>
      </c>
      <c r="C61" s="264" t="str">
        <f>'V rok'!B66</f>
        <v>Choroby metaboliczne</v>
      </c>
      <c r="D61" s="265" t="str">
        <f>'V rok'!C66</f>
        <v>0912-7LEK-F51-C</v>
      </c>
      <c r="E61" s="266"/>
      <c r="F61" s="267">
        <f>'V rok'!E66</f>
        <v>9</v>
      </c>
      <c r="G61" s="268"/>
      <c r="H61" s="269"/>
      <c r="I61" s="270"/>
      <c r="J61" s="270">
        <v>15</v>
      </c>
      <c r="K61" s="270">
        <v>10</v>
      </c>
      <c r="L61" s="270"/>
      <c r="M61" s="270"/>
      <c r="N61" s="270"/>
      <c r="O61" s="270"/>
      <c r="P61" s="279">
        <v>1</v>
      </c>
      <c r="Q61" s="266"/>
      <c r="R61" s="270"/>
      <c r="S61" s="270"/>
      <c r="T61" s="270"/>
      <c r="U61" s="270"/>
      <c r="V61" s="270"/>
      <c r="W61" s="270"/>
      <c r="X61" s="270"/>
      <c r="Y61" s="268"/>
      <c r="Z61" s="269">
        <v>15</v>
      </c>
      <c r="AA61" s="270"/>
      <c r="AB61" s="270">
        <v>15</v>
      </c>
      <c r="AC61" s="270"/>
      <c r="AD61" s="270"/>
      <c r="AE61" s="270">
        <v>25</v>
      </c>
      <c r="AF61" s="270">
        <v>1</v>
      </c>
    </row>
    <row r="62" spans="1:32" ht="24.75" customHeight="1">
      <c r="A62" s="632"/>
      <c r="B62" s="270" t="s">
        <v>232</v>
      </c>
      <c r="C62" s="264" t="str">
        <f>'V rok'!B67</f>
        <v>Psychiatria dzieci i młodzieży</v>
      </c>
      <c r="D62" s="265" t="str">
        <f>'V rok'!C67</f>
        <v>0912-7LEK-F52-P</v>
      </c>
      <c r="E62" s="266"/>
      <c r="F62" s="267">
        <f>'V rok'!E67</f>
        <v>9</v>
      </c>
      <c r="G62" s="268"/>
      <c r="H62" s="269"/>
      <c r="I62" s="270"/>
      <c r="J62" s="270">
        <v>15</v>
      </c>
      <c r="K62" s="270">
        <v>10</v>
      </c>
      <c r="L62" s="270"/>
      <c r="M62" s="270"/>
      <c r="N62" s="270"/>
      <c r="O62" s="270"/>
      <c r="P62" s="279">
        <v>1</v>
      </c>
      <c r="Q62" s="266"/>
      <c r="R62" s="270"/>
      <c r="S62" s="270"/>
      <c r="T62" s="270"/>
      <c r="U62" s="270"/>
      <c r="V62" s="270"/>
      <c r="W62" s="270"/>
      <c r="X62" s="270"/>
      <c r="Y62" s="268"/>
      <c r="Z62" s="269">
        <v>15</v>
      </c>
      <c r="AA62" s="270"/>
      <c r="AB62" s="270">
        <v>15</v>
      </c>
      <c r="AC62" s="270"/>
      <c r="AD62" s="270"/>
      <c r="AE62" s="270">
        <v>25</v>
      </c>
      <c r="AF62" s="270">
        <v>1</v>
      </c>
    </row>
    <row r="63" spans="1:32" ht="24.75" customHeight="1">
      <c r="A63" s="633"/>
      <c r="B63" s="270" t="s">
        <v>233</v>
      </c>
      <c r="C63" s="264" t="str">
        <f>'V rok'!B68</f>
        <v>Radiologia w pediatrii</v>
      </c>
      <c r="D63" s="265" t="str">
        <f>'V rok'!C68</f>
        <v>0912-7LEK-F53-R</v>
      </c>
      <c r="E63" s="266"/>
      <c r="F63" s="267">
        <f>'V rok'!E68</f>
        <v>9</v>
      </c>
      <c r="G63" s="268"/>
      <c r="H63" s="269"/>
      <c r="I63" s="270"/>
      <c r="J63" s="270">
        <v>15</v>
      </c>
      <c r="K63" s="270">
        <v>10</v>
      </c>
      <c r="L63" s="270"/>
      <c r="M63" s="270"/>
      <c r="N63" s="270"/>
      <c r="O63" s="270"/>
      <c r="P63" s="279">
        <v>1</v>
      </c>
      <c r="Q63" s="266"/>
      <c r="R63" s="270"/>
      <c r="S63" s="270"/>
      <c r="T63" s="270"/>
      <c r="U63" s="270"/>
      <c r="V63" s="270"/>
      <c r="W63" s="270"/>
      <c r="X63" s="270"/>
      <c r="Y63" s="268"/>
      <c r="Z63" s="269">
        <v>15</v>
      </c>
      <c r="AA63" s="270"/>
      <c r="AB63" s="270">
        <v>15</v>
      </c>
      <c r="AC63" s="270"/>
      <c r="AD63" s="270"/>
      <c r="AE63" s="270">
        <v>25</v>
      </c>
      <c r="AF63" s="270">
        <v>1</v>
      </c>
    </row>
    <row r="64" spans="1:32" ht="24.75" customHeight="1">
      <c r="A64" s="392"/>
      <c r="B64" s="270" t="s">
        <v>234</v>
      </c>
      <c r="C64" s="264" t="s">
        <v>329</v>
      </c>
      <c r="D64" s="265" t="s">
        <v>332</v>
      </c>
      <c r="E64" s="266"/>
      <c r="F64" s="267">
        <v>9</v>
      </c>
      <c r="G64" s="268"/>
      <c r="H64" s="269"/>
      <c r="I64" s="270"/>
      <c r="J64" s="270">
        <v>15</v>
      </c>
      <c r="K64" s="270">
        <v>10</v>
      </c>
      <c r="L64" s="270"/>
      <c r="M64" s="270"/>
      <c r="N64" s="270"/>
      <c r="O64" s="270"/>
      <c r="P64" s="279">
        <v>1</v>
      </c>
      <c r="Q64" s="269"/>
      <c r="R64" s="270"/>
      <c r="S64" s="270"/>
      <c r="T64" s="270"/>
      <c r="U64" s="270"/>
      <c r="V64" s="270"/>
      <c r="W64" s="270"/>
      <c r="X64" s="270"/>
      <c r="Y64" s="268"/>
      <c r="Z64" s="269">
        <v>15</v>
      </c>
      <c r="AA64" s="270"/>
      <c r="AB64" s="270">
        <v>15</v>
      </c>
      <c r="AC64" s="270"/>
      <c r="AD64" s="270"/>
      <c r="AE64" s="270">
        <v>25</v>
      </c>
      <c r="AF64" s="270">
        <v>1</v>
      </c>
    </row>
    <row r="65" spans="1:32" ht="196.5" customHeight="1">
      <c r="A65" s="285" t="s">
        <v>163</v>
      </c>
      <c r="B65" s="270" t="s">
        <v>235</v>
      </c>
      <c r="C65" s="278" t="s">
        <v>267</v>
      </c>
      <c r="D65" s="265" t="str">
        <f>'V rok'!C70</f>
        <v>0912-7LEK-F55-Z</v>
      </c>
      <c r="E65" s="266"/>
      <c r="F65" s="267" t="str">
        <f>'V rok'!E70</f>
        <v>9-12</v>
      </c>
      <c r="G65" s="268"/>
      <c r="H65" s="269"/>
      <c r="I65" s="270"/>
      <c r="J65" s="270">
        <f>'V rok'!I70</f>
        <v>30</v>
      </c>
      <c r="K65" s="270">
        <f>'V rok'!J70</f>
        <v>20</v>
      </c>
      <c r="L65" s="270"/>
      <c r="M65" s="270"/>
      <c r="N65" s="270"/>
      <c r="O65" s="270"/>
      <c r="P65" s="268">
        <f>'V rok'!O70</f>
        <v>2</v>
      </c>
      <c r="Q65" s="269"/>
      <c r="R65" s="270"/>
      <c r="S65" s="270">
        <f>'V rok'!R70</f>
        <v>30</v>
      </c>
      <c r="T65" s="270">
        <f>'V rok'!S70</f>
        <v>20</v>
      </c>
      <c r="U65" s="270"/>
      <c r="V65" s="270"/>
      <c r="W65" s="270"/>
      <c r="X65" s="270"/>
      <c r="Y65" s="268">
        <f>'V rok'!X70</f>
        <v>2</v>
      </c>
      <c r="Z65" s="269">
        <f>'V rok'!Y70</f>
        <v>60</v>
      </c>
      <c r="AA65" s="270"/>
      <c r="AB65" s="270">
        <f>'V rok'!AA70</f>
        <v>60</v>
      </c>
      <c r="AC65" s="270"/>
      <c r="AD65" s="270"/>
      <c r="AE65" s="270">
        <f>'V rok'!AD70</f>
        <v>100</v>
      </c>
      <c r="AF65" s="270">
        <f>'V rok'!AE70</f>
        <v>4</v>
      </c>
    </row>
    <row r="66" spans="1:32" ht="27" customHeight="1">
      <c r="A66" s="285"/>
      <c r="B66" s="270" t="s">
        <v>258</v>
      </c>
      <c r="C66" s="278" t="s">
        <v>280</v>
      </c>
      <c r="D66" s="265" t="s">
        <v>333</v>
      </c>
      <c r="E66" s="266"/>
      <c r="F66" s="267">
        <v>10</v>
      </c>
      <c r="G66" s="268"/>
      <c r="H66" s="269"/>
      <c r="I66" s="270"/>
      <c r="J66" s="270"/>
      <c r="K66" s="270"/>
      <c r="L66" s="270"/>
      <c r="M66" s="270"/>
      <c r="N66" s="270"/>
      <c r="O66" s="270"/>
      <c r="P66" s="279"/>
      <c r="Q66" s="269">
        <v>15</v>
      </c>
      <c r="R66" s="270">
        <v>10</v>
      </c>
      <c r="S66" s="270"/>
      <c r="T66" s="270"/>
      <c r="U66" s="270"/>
      <c r="V66" s="270"/>
      <c r="W66" s="270"/>
      <c r="X66" s="270"/>
      <c r="Y66" s="268">
        <v>1</v>
      </c>
      <c r="Z66" s="269">
        <v>15</v>
      </c>
      <c r="AA66" s="270">
        <v>15</v>
      </c>
      <c r="AB66" s="270"/>
      <c r="AC66" s="270"/>
      <c r="AD66" s="270"/>
      <c r="AE66" s="270">
        <v>25</v>
      </c>
      <c r="AF66" s="270">
        <v>1</v>
      </c>
    </row>
    <row r="67" spans="1:32" ht="27" customHeight="1">
      <c r="A67" s="285"/>
      <c r="B67" s="270" t="s">
        <v>283</v>
      </c>
      <c r="C67" s="278" t="s">
        <v>174</v>
      </c>
      <c r="D67" s="265" t="s">
        <v>334</v>
      </c>
      <c r="E67" s="266"/>
      <c r="F67" s="267">
        <v>10</v>
      </c>
      <c r="G67" s="268"/>
      <c r="H67" s="269"/>
      <c r="I67" s="270"/>
      <c r="J67" s="270"/>
      <c r="K67" s="270"/>
      <c r="L67" s="270"/>
      <c r="M67" s="270"/>
      <c r="N67" s="270"/>
      <c r="O67" s="270"/>
      <c r="P67" s="279"/>
      <c r="Q67" s="269">
        <v>15</v>
      </c>
      <c r="R67" s="270">
        <v>10</v>
      </c>
      <c r="S67" s="270"/>
      <c r="T67" s="270"/>
      <c r="U67" s="270"/>
      <c r="V67" s="270"/>
      <c r="W67" s="270"/>
      <c r="X67" s="270"/>
      <c r="Y67" s="268">
        <v>1</v>
      </c>
      <c r="Z67" s="269">
        <v>15</v>
      </c>
      <c r="AA67" s="270">
        <v>15</v>
      </c>
      <c r="AB67" s="270"/>
      <c r="AC67" s="270"/>
      <c r="AD67" s="270"/>
      <c r="AE67" s="270">
        <v>25</v>
      </c>
      <c r="AF67" s="270">
        <v>1</v>
      </c>
    </row>
    <row r="68" spans="1:32" ht="27" customHeight="1">
      <c r="A68" s="285"/>
      <c r="B68" s="270" t="s">
        <v>284</v>
      </c>
      <c r="C68" s="278" t="s">
        <v>318</v>
      </c>
      <c r="D68" s="265" t="s">
        <v>335</v>
      </c>
      <c r="E68" s="266"/>
      <c r="F68" s="267" t="s">
        <v>133</v>
      </c>
      <c r="G68" s="268"/>
      <c r="H68" s="269"/>
      <c r="I68" s="270"/>
      <c r="J68" s="270"/>
      <c r="K68" s="270"/>
      <c r="L68" s="270"/>
      <c r="M68" s="270"/>
      <c r="N68" s="270"/>
      <c r="O68" s="270"/>
      <c r="P68" s="279"/>
      <c r="Q68" s="269">
        <v>15</v>
      </c>
      <c r="R68" s="270">
        <v>10</v>
      </c>
      <c r="S68" s="270"/>
      <c r="T68" s="270"/>
      <c r="U68" s="270"/>
      <c r="V68" s="270"/>
      <c r="W68" s="270"/>
      <c r="X68" s="270"/>
      <c r="Y68" s="268">
        <v>1</v>
      </c>
      <c r="Z68" s="269">
        <v>15</v>
      </c>
      <c r="AA68" s="270">
        <v>10</v>
      </c>
      <c r="AB68" s="270"/>
      <c r="AC68" s="270"/>
      <c r="AD68" s="270"/>
      <c r="AE68" s="270">
        <v>25</v>
      </c>
      <c r="AF68" s="270">
        <v>1</v>
      </c>
    </row>
    <row r="69" spans="1:32" ht="204" customHeight="1">
      <c r="A69" s="283" t="s">
        <v>195</v>
      </c>
      <c r="B69" s="270" t="s">
        <v>285</v>
      </c>
      <c r="C69" s="278" t="s">
        <v>266</v>
      </c>
      <c r="D69" s="291" t="str">
        <f>'VI rok'!C23</f>
        <v>0912-7LEK-F59-Z</v>
      </c>
      <c r="E69" s="266"/>
      <c r="F69" s="270" t="str">
        <f>'VI rok'!E23</f>
        <v>11-12</v>
      </c>
      <c r="G69" s="268"/>
      <c r="H69" s="269"/>
      <c r="I69" s="270"/>
      <c r="J69" s="270">
        <f>'VI rok'!I23</f>
        <v>30</v>
      </c>
      <c r="K69" s="270">
        <f>'VI rok'!J23</f>
        <v>20</v>
      </c>
      <c r="L69" s="270"/>
      <c r="M69" s="270"/>
      <c r="N69" s="270"/>
      <c r="O69" s="270"/>
      <c r="P69" s="279">
        <f>'VI rok'!O23</f>
        <v>2</v>
      </c>
      <c r="Q69" s="266"/>
      <c r="R69" s="270"/>
      <c r="S69" s="270">
        <f>'VI rok'!R23</f>
        <v>30</v>
      </c>
      <c r="T69" s="270">
        <f>'VI rok'!S23</f>
        <v>20</v>
      </c>
      <c r="U69" s="270"/>
      <c r="V69" s="270"/>
      <c r="W69" s="270"/>
      <c r="X69" s="270"/>
      <c r="Y69" s="268">
        <f>'VI rok'!X23</f>
        <v>2</v>
      </c>
      <c r="Z69" s="269">
        <f>'VI rok'!Y23</f>
        <v>60</v>
      </c>
      <c r="AA69" s="270">
        <f>'VI rok'!Z23</f>
        <v>0</v>
      </c>
      <c r="AB69" s="270">
        <f>'VI rok'!AA23</f>
        <v>60</v>
      </c>
      <c r="AC69" s="270"/>
      <c r="AD69" s="270"/>
      <c r="AE69" s="270">
        <f>'VI rok'!AD23</f>
        <v>100</v>
      </c>
      <c r="AF69" s="270">
        <f>'VI rok'!AE23</f>
        <v>4</v>
      </c>
    </row>
    <row r="70" spans="1:32">
      <c r="E70" s="244"/>
      <c r="F70" s="244"/>
      <c r="G70" s="244"/>
      <c r="H70" s="244"/>
      <c r="I70" s="244"/>
      <c r="J70" s="244"/>
      <c r="K70" s="244"/>
      <c r="L70" s="244"/>
      <c r="M70" s="244"/>
      <c r="N70" s="244"/>
      <c r="O70" s="244"/>
      <c r="P70" s="244"/>
      <c r="Q70" s="244"/>
      <c r="R70" s="244"/>
      <c r="S70" s="244"/>
      <c r="T70" s="244"/>
      <c r="U70" s="244"/>
      <c r="V70" s="244"/>
      <c r="W70" s="244"/>
      <c r="X70" s="244"/>
      <c r="Y70" s="244"/>
      <c r="Z70" s="244"/>
      <c r="AA70" s="244"/>
      <c r="AB70" s="244"/>
      <c r="AC70" s="244"/>
      <c r="AD70" s="244"/>
      <c r="AE70" s="244"/>
      <c r="AF70" s="244"/>
    </row>
  </sheetData>
  <mergeCells count="37">
    <mergeCell ref="A7:A13"/>
    <mergeCell ref="A14:A24"/>
    <mergeCell ref="A26:A34"/>
    <mergeCell ref="A35:A45"/>
    <mergeCell ref="A46:A63"/>
    <mergeCell ref="AD3:AD6"/>
    <mergeCell ref="AE3:AE6"/>
    <mergeCell ref="AF3:AF6"/>
    <mergeCell ref="C1:AF1"/>
    <mergeCell ref="B2:G2"/>
    <mergeCell ref="H2:AF2"/>
    <mergeCell ref="B3:B6"/>
    <mergeCell ref="C3:C6"/>
    <mergeCell ref="D3:D6"/>
    <mergeCell ref="E3:G4"/>
    <mergeCell ref="Z3:Z6"/>
    <mergeCell ref="F5:F6"/>
    <mergeCell ref="G5:G6"/>
    <mergeCell ref="AA3:AA6"/>
    <mergeCell ref="AB3:AB6"/>
    <mergeCell ref="AC3:AC6"/>
    <mergeCell ref="B46:AF46"/>
    <mergeCell ref="B35:AF35"/>
    <mergeCell ref="B26:AF26"/>
    <mergeCell ref="B14:AF14"/>
    <mergeCell ref="H3:I5"/>
    <mergeCell ref="J3:K5"/>
    <mergeCell ref="L3:M5"/>
    <mergeCell ref="Y3:Y6"/>
    <mergeCell ref="W3:X5"/>
    <mergeCell ref="U3:V5"/>
    <mergeCell ref="S3:T5"/>
    <mergeCell ref="Q3:R5"/>
    <mergeCell ref="P3:P6"/>
    <mergeCell ref="B7:AF7"/>
    <mergeCell ref="N3:O5"/>
    <mergeCell ref="E5:E6"/>
  </mergeCells>
  <pageMargins left="0.23622047244094491" right="0.23622047244094491" top="0.74803149606299213" bottom="0.74803149606299213" header="0.31496062992125984" footer="0.31496062992125984"/>
  <pageSetup paperSize="9" scale="58" fitToHeight="0" orientation="landscape" r:id="rId1"/>
  <rowBreaks count="1" manualBreakCount="1">
    <brk id="34" max="16383" man="1"/>
  </rowBreaks>
  <colBreaks count="1" manualBreakCount="1">
    <brk id="1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9</vt:i4>
      </vt:variant>
      <vt:variant>
        <vt:lpstr>Zakresy nazwane</vt:lpstr>
      </vt:variant>
      <vt:variant>
        <vt:i4>13</vt:i4>
      </vt:variant>
    </vt:vector>
  </HeadingPairs>
  <TitlesOfParts>
    <vt:vector size="22" baseType="lpstr">
      <vt:lpstr>I rok</vt:lpstr>
      <vt:lpstr>II rok</vt:lpstr>
      <vt:lpstr>III rok</vt:lpstr>
      <vt:lpstr>IV rok</vt:lpstr>
      <vt:lpstr>V rok</vt:lpstr>
      <vt:lpstr>VI rok</vt:lpstr>
      <vt:lpstr>RAZEM</vt:lpstr>
      <vt:lpstr>Arkusz1</vt:lpstr>
      <vt:lpstr>FAKULTETY</vt:lpstr>
      <vt:lpstr>'I rok'!Obszar_wydruku</vt:lpstr>
      <vt:lpstr>'II rok'!Obszar_wydruku</vt:lpstr>
      <vt:lpstr>'III rok'!Obszar_wydruku</vt:lpstr>
      <vt:lpstr>'IV rok'!Obszar_wydruku</vt:lpstr>
      <vt:lpstr>'V rok'!Obszar_wydruku</vt:lpstr>
      <vt:lpstr>'VI rok'!Obszar_wydruku</vt:lpstr>
      <vt:lpstr>FAKULTETY!Tytuły_wydruku</vt:lpstr>
      <vt:lpstr>'I rok'!Tytuły_wydruku</vt:lpstr>
      <vt:lpstr>'II rok'!Tytuły_wydruku</vt:lpstr>
      <vt:lpstr>'III rok'!Tytuły_wydruku</vt:lpstr>
      <vt:lpstr>'IV rok'!Tytuły_wydruku</vt:lpstr>
      <vt:lpstr>RAZEM!Tytuły_wydruku</vt:lpstr>
      <vt:lpstr>'V rok'!Tytuły_wydruku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ug</dc:creator>
  <cp:lastModifiedBy>Julia Piotrowicz</cp:lastModifiedBy>
  <cp:lastPrinted>2019-11-29T08:17:03Z</cp:lastPrinted>
  <dcterms:created xsi:type="dcterms:W3CDTF">2010-12-06T08:38:47Z</dcterms:created>
  <dcterms:modified xsi:type="dcterms:W3CDTF">2022-03-22T08:27:01Z</dcterms:modified>
</cp:coreProperties>
</file>